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0" yWindow="0" windowWidth="20490" windowHeight="7755" tabRatio="721" activeTab="1"/>
  </bookViews>
  <sheets>
    <sheet name="введение" sheetId="12" r:id="rId1"/>
    <sheet name="№ 910 Декларация " sheetId="1" r:id="rId2"/>
    <sheet name="№ 1 доход ТОО" sheetId="2" r:id="rId3"/>
    <sheet name="№ 2.1 Начис. доходы работников" sheetId="60" r:id="rId4"/>
    <sheet name="№ 2.2 Начис.доходы работников" sheetId="63" r:id="rId5"/>
    <sheet name="№ 2.3 Начис. доходы работ" sheetId="64" r:id="rId6"/>
    <sheet name="№ 2.4 Начис. доходы работ" sheetId="3" r:id="rId7"/>
    <sheet name="№ 2.5 Начис. доходы работ. " sheetId="65" r:id="rId8"/>
    <sheet name="№ 2.6 Начис. доходы работ. " sheetId="66" r:id="rId9"/>
    <sheet name="№4 Дивиденды" sheetId="70" r:id="rId10"/>
    <sheet name="№3 договора ГПХ" sheetId="68" r:id="rId11"/>
    <sheet name="№ 4 договора ГПХ" sheetId="69" r:id="rId12"/>
  </sheets>
  <externalReferences>
    <externalReference r:id="rId13"/>
  </externalReferences>
  <definedNames>
    <definedName name="_SUB100" localSheetId="0">введение!$A$3</definedName>
    <definedName name="sub1002163307" localSheetId="0">введение!$A$4</definedName>
  </definedNames>
  <calcPr calcId="152511"/>
</workbook>
</file>

<file path=xl/calcChain.xml><?xml version="1.0" encoding="utf-8"?>
<calcChain xmlns="http://schemas.openxmlformats.org/spreadsheetml/2006/main">
  <c r="J25" i="66" l="1"/>
  <c r="J24" i="66"/>
  <c r="J23" i="66"/>
  <c r="J22" i="66"/>
  <c r="J21" i="66"/>
  <c r="J20" i="66"/>
  <c r="J19" i="66"/>
  <c r="J18" i="66"/>
  <c r="J16" i="66"/>
  <c r="J15" i="66"/>
  <c r="J14" i="66"/>
  <c r="J17" i="66"/>
  <c r="J25" i="65"/>
  <c r="J24" i="65"/>
  <c r="J23" i="65"/>
  <c r="J22" i="65"/>
  <c r="J21" i="65"/>
  <c r="J20" i="65"/>
  <c r="J19" i="65"/>
  <c r="J18" i="65"/>
  <c r="J16" i="65"/>
  <c r="J15" i="65"/>
  <c r="J14" i="65"/>
  <c r="J17" i="65"/>
  <c r="J25" i="3"/>
  <c r="J24" i="3"/>
  <c r="J23" i="3"/>
  <c r="J22" i="3"/>
  <c r="J21" i="3"/>
  <c r="J20" i="3"/>
  <c r="J19" i="3"/>
  <c r="J18" i="3"/>
  <c r="J16" i="3"/>
  <c r="J15" i="3"/>
  <c r="J14" i="3"/>
  <c r="J17" i="3"/>
  <c r="J25" i="64"/>
  <c r="J24" i="64"/>
  <c r="J23" i="64"/>
  <c r="J22" i="64"/>
  <c r="J21" i="64"/>
  <c r="J20" i="64"/>
  <c r="J19" i="64"/>
  <c r="J18" i="64"/>
  <c r="J16" i="64"/>
  <c r="J15" i="64"/>
  <c r="J14" i="64"/>
  <c r="J17" i="64"/>
  <c r="J25" i="63"/>
  <c r="J24" i="63"/>
  <c r="J23" i="63"/>
  <c r="J22" i="63"/>
  <c r="J21" i="63"/>
  <c r="J20" i="63"/>
  <c r="J19" i="63"/>
  <c r="J18" i="63"/>
  <c r="J16" i="63"/>
  <c r="J15" i="63"/>
  <c r="J14" i="63"/>
  <c r="J17" i="63"/>
  <c r="J25" i="60"/>
  <c r="J24" i="60"/>
  <c r="J23" i="60"/>
  <c r="J22" i="60"/>
  <c r="J21" i="60"/>
  <c r="J20" i="60"/>
  <c r="J19" i="60"/>
  <c r="J18" i="60"/>
  <c r="J16" i="60"/>
  <c r="J15" i="60"/>
  <c r="J14" i="60"/>
  <c r="J17" i="60"/>
  <c r="R14" i="70" l="1"/>
  <c r="P14" i="70"/>
  <c r="N14" i="70"/>
  <c r="L14" i="70"/>
  <c r="T14" i="70"/>
  <c r="V14" i="70"/>
  <c r="F8" i="70"/>
  <c r="G8" i="70"/>
  <c r="F27" i="70"/>
  <c r="E27" i="70"/>
  <c r="U26" i="70"/>
  <c r="Q26" i="70"/>
  <c r="M26" i="70"/>
  <c r="K26" i="70"/>
  <c r="I26" i="70"/>
  <c r="H26" i="70"/>
  <c r="G26" i="70"/>
  <c r="J26" i="70" s="1"/>
  <c r="V25" i="70"/>
  <c r="T25" i="70"/>
  <c r="R25" i="70"/>
  <c r="P25" i="70"/>
  <c r="N25" i="70"/>
  <c r="L25" i="70"/>
  <c r="K25" i="70"/>
  <c r="W25" i="70" s="1"/>
  <c r="I25" i="70"/>
  <c r="H25" i="70"/>
  <c r="J25" i="70" s="1"/>
  <c r="G25" i="70"/>
  <c r="K24" i="70"/>
  <c r="I24" i="70"/>
  <c r="H24" i="70"/>
  <c r="G24" i="70"/>
  <c r="J24" i="70" s="1"/>
  <c r="V23" i="70"/>
  <c r="T23" i="70"/>
  <c r="R23" i="70"/>
  <c r="P23" i="70"/>
  <c r="N23" i="70"/>
  <c r="L23" i="70"/>
  <c r="K23" i="70"/>
  <c r="W23" i="70" s="1"/>
  <c r="I23" i="70"/>
  <c r="H23" i="70"/>
  <c r="J23" i="70" s="1"/>
  <c r="G23" i="70"/>
  <c r="U22" i="70"/>
  <c r="Q22" i="70"/>
  <c r="M22" i="70"/>
  <c r="K22" i="70"/>
  <c r="I22" i="70"/>
  <c r="H22" i="70"/>
  <c r="G22" i="70"/>
  <c r="J22" i="70" s="1"/>
  <c r="V21" i="70"/>
  <c r="T21" i="70"/>
  <c r="R21" i="70"/>
  <c r="P21" i="70"/>
  <c r="N21" i="70"/>
  <c r="L21" i="70"/>
  <c r="K21" i="70"/>
  <c r="W21" i="70" s="1"/>
  <c r="I21" i="70"/>
  <c r="H21" i="70"/>
  <c r="J21" i="70" s="1"/>
  <c r="G21" i="70"/>
  <c r="K20" i="70"/>
  <c r="I20" i="70"/>
  <c r="H20" i="70"/>
  <c r="G20" i="70"/>
  <c r="J20" i="70" s="1"/>
  <c r="V19" i="70"/>
  <c r="T19" i="70"/>
  <c r="R19" i="70"/>
  <c r="P19" i="70"/>
  <c r="N19" i="70"/>
  <c r="L19" i="70"/>
  <c r="K19" i="70"/>
  <c r="W19" i="70" s="1"/>
  <c r="I19" i="70"/>
  <c r="H19" i="70"/>
  <c r="J19" i="70" s="1"/>
  <c r="G19" i="70"/>
  <c r="U18" i="70"/>
  <c r="Q18" i="70"/>
  <c r="M18" i="70"/>
  <c r="K18" i="70"/>
  <c r="I18" i="70"/>
  <c r="H18" i="70"/>
  <c r="G18" i="70"/>
  <c r="J18" i="70" s="1"/>
  <c r="V17" i="70"/>
  <c r="T17" i="70"/>
  <c r="R17" i="70"/>
  <c r="P17" i="70"/>
  <c r="N17" i="70"/>
  <c r="L17" i="70"/>
  <c r="K17" i="70"/>
  <c r="W17" i="70" s="1"/>
  <c r="I17" i="70"/>
  <c r="H17" i="70"/>
  <c r="J17" i="70" s="1"/>
  <c r="G17" i="70"/>
  <c r="K16" i="70"/>
  <c r="I16" i="70"/>
  <c r="H16" i="70"/>
  <c r="G16" i="70"/>
  <c r="K15" i="70"/>
  <c r="R15" i="70" s="1"/>
  <c r="I15" i="70"/>
  <c r="H15" i="70"/>
  <c r="G15" i="70"/>
  <c r="E7" i="70"/>
  <c r="F8" i="2"/>
  <c r="H8" i="2"/>
  <c r="E20" i="2"/>
  <c r="D20" i="2"/>
  <c r="C20" i="2"/>
  <c r="C7" i="2"/>
  <c r="J16" i="70" l="1"/>
  <c r="L15" i="70"/>
  <c r="J15" i="70"/>
  <c r="J27" i="70" s="1"/>
  <c r="V15" i="70"/>
  <c r="N15" i="70"/>
  <c r="I27" i="70"/>
  <c r="V16" i="70"/>
  <c r="T16" i="70"/>
  <c r="R16" i="70"/>
  <c r="R27" i="70" s="1"/>
  <c r="P16" i="70"/>
  <c r="N16" i="70"/>
  <c r="N27" i="70" s="1"/>
  <c r="L16" i="70"/>
  <c r="L27" i="70" s="1"/>
  <c r="O16" i="70"/>
  <c r="S16" i="70"/>
  <c r="W16" i="70"/>
  <c r="V20" i="70"/>
  <c r="T20" i="70"/>
  <c r="R20" i="70"/>
  <c r="P20" i="70"/>
  <c r="N20" i="70"/>
  <c r="L20" i="70"/>
  <c r="O20" i="70"/>
  <c r="S20" i="70"/>
  <c r="W20" i="70"/>
  <c r="V24" i="70"/>
  <c r="T24" i="70"/>
  <c r="R24" i="70"/>
  <c r="P24" i="70"/>
  <c r="N24" i="70"/>
  <c r="L24" i="70"/>
  <c r="O24" i="70"/>
  <c r="S24" i="70"/>
  <c r="W24" i="70"/>
  <c r="G27" i="70"/>
  <c r="W15" i="70"/>
  <c r="U15" i="70"/>
  <c r="S15" i="70"/>
  <c r="Q15" i="70"/>
  <c r="O15" i="70"/>
  <c r="M15" i="70"/>
  <c r="P15" i="70"/>
  <c r="T15" i="70"/>
  <c r="T27" i="70" s="1"/>
  <c r="M16" i="70"/>
  <c r="Q16" i="70"/>
  <c r="U16" i="70"/>
  <c r="V18" i="70"/>
  <c r="V27" i="70" s="1"/>
  <c r="T18" i="70"/>
  <c r="R18" i="70"/>
  <c r="P18" i="70"/>
  <c r="N18" i="70"/>
  <c r="L18" i="70"/>
  <c r="O18" i="70"/>
  <c r="S18" i="70"/>
  <c r="W18" i="70"/>
  <c r="M20" i="70"/>
  <c r="Q20" i="70"/>
  <c r="U20" i="70"/>
  <c r="V22" i="70"/>
  <c r="T22" i="70"/>
  <c r="R22" i="70"/>
  <c r="P22" i="70"/>
  <c r="N22" i="70"/>
  <c r="L22" i="70"/>
  <c r="O22" i="70"/>
  <c r="S22" i="70"/>
  <c r="W22" i="70"/>
  <c r="M24" i="70"/>
  <c r="Q24" i="70"/>
  <c r="U24" i="70"/>
  <c r="V26" i="70"/>
  <c r="T26" i="70"/>
  <c r="R26" i="70"/>
  <c r="P26" i="70"/>
  <c r="N26" i="70"/>
  <c r="L26" i="70"/>
  <c r="O26" i="70"/>
  <c r="S26" i="70"/>
  <c r="W26" i="70"/>
  <c r="M17" i="70"/>
  <c r="O17" i="70"/>
  <c r="Q17" i="70"/>
  <c r="S17" i="70"/>
  <c r="U17" i="70"/>
  <c r="M19" i="70"/>
  <c r="O19" i="70"/>
  <c r="Q19" i="70"/>
  <c r="S19" i="70"/>
  <c r="U19" i="70"/>
  <c r="M21" i="70"/>
  <c r="O21" i="70"/>
  <c r="Q21" i="70"/>
  <c r="S21" i="70"/>
  <c r="U21" i="70"/>
  <c r="M23" i="70"/>
  <c r="O23" i="70"/>
  <c r="Q23" i="70"/>
  <c r="S23" i="70"/>
  <c r="U23" i="70"/>
  <c r="M25" i="70"/>
  <c r="O25" i="70"/>
  <c r="Q25" i="70"/>
  <c r="S25" i="70"/>
  <c r="U25" i="70"/>
  <c r="C21" i="2"/>
  <c r="E24" i="2" s="1"/>
  <c r="M27" i="70" l="1"/>
  <c r="Q27" i="70"/>
  <c r="U27" i="70"/>
  <c r="P27" i="70"/>
  <c r="O27" i="70"/>
  <c r="S27" i="70"/>
  <c r="W27" i="70"/>
  <c r="J26" i="68" l="1"/>
  <c r="J25" i="68"/>
  <c r="J24" i="68"/>
  <c r="J23" i="68"/>
  <c r="J22" i="68"/>
  <c r="J21" i="68"/>
  <c r="J20" i="68"/>
  <c r="J19" i="68"/>
  <c r="J18" i="68"/>
  <c r="J17" i="68"/>
  <c r="J16" i="68"/>
  <c r="J15" i="68"/>
  <c r="T14" i="69"/>
  <c r="T13" i="69"/>
  <c r="R14" i="69"/>
  <c r="R13" i="69"/>
  <c r="P14" i="69"/>
  <c r="P13" i="69"/>
  <c r="J14" i="69"/>
  <c r="J13" i="69"/>
  <c r="L14" i="69"/>
  <c r="L13" i="69"/>
  <c r="N14" i="69"/>
  <c r="N13" i="69"/>
  <c r="F14" i="69"/>
  <c r="F13" i="69"/>
  <c r="I26" i="68"/>
  <c r="I25" i="68"/>
  <c r="I24" i="68"/>
  <c r="I23" i="68"/>
  <c r="I22" i="68"/>
  <c r="I21" i="68"/>
  <c r="I20" i="68"/>
  <c r="I19" i="68"/>
  <c r="I18" i="68"/>
  <c r="I17" i="68"/>
  <c r="I16" i="68"/>
  <c r="T2" i="69"/>
  <c r="R2" i="69"/>
  <c r="P2" i="69"/>
  <c r="N2" i="69"/>
  <c r="L2" i="69"/>
  <c r="D14" i="69"/>
  <c r="C14" i="69"/>
  <c r="B14" i="69"/>
  <c r="D13" i="69"/>
  <c r="C13" i="69"/>
  <c r="B13" i="69"/>
  <c r="D12" i="69"/>
  <c r="C12" i="69"/>
  <c r="T12" i="69" s="1"/>
  <c r="B12" i="69"/>
  <c r="D11" i="69"/>
  <c r="C11" i="69"/>
  <c r="T11" i="69" s="1"/>
  <c r="B11" i="69"/>
  <c r="D10" i="69"/>
  <c r="C10" i="69"/>
  <c r="T10" i="69" s="1"/>
  <c r="B10" i="69"/>
  <c r="D9" i="69"/>
  <c r="C9" i="69"/>
  <c r="T9" i="69" s="1"/>
  <c r="B9" i="69"/>
  <c r="D8" i="69"/>
  <c r="C8" i="69"/>
  <c r="T8" i="69" s="1"/>
  <c r="B8" i="69"/>
  <c r="D7" i="69"/>
  <c r="C7" i="69"/>
  <c r="T7" i="69" s="1"/>
  <c r="B7" i="69"/>
  <c r="D6" i="69"/>
  <c r="C6" i="69"/>
  <c r="T6" i="69" s="1"/>
  <c r="B6" i="69"/>
  <c r="D5" i="69"/>
  <c r="C5" i="69"/>
  <c r="T5" i="69" s="1"/>
  <c r="B5" i="69"/>
  <c r="D4" i="69"/>
  <c r="C4" i="69"/>
  <c r="T4" i="69" s="1"/>
  <c r="B4" i="69"/>
  <c r="D3" i="69"/>
  <c r="C3" i="69"/>
  <c r="T3" i="69" s="1"/>
  <c r="B3" i="69"/>
  <c r="H26" i="66"/>
  <c r="G26" i="66"/>
  <c r="I25" i="66"/>
  <c r="I24" i="66"/>
  <c r="I23" i="66"/>
  <c r="I22" i="66"/>
  <c r="I21" i="66"/>
  <c r="I20" i="66"/>
  <c r="I19" i="66"/>
  <c r="I18" i="66"/>
  <c r="H26" i="65"/>
  <c r="G26" i="65"/>
  <c r="I25" i="65"/>
  <c r="I24" i="65"/>
  <c r="I23" i="65"/>
  <c r="I22" i="65"/>
  <c r="I21" i="65"/>
  <c r="I20" i="65"/>
  <c r="I19" i="65"/>
  <c r="I18" i="65"/>
  <c r="H26" i="3"/>
  <c r="G26" i="3"/>
  <c r="I25" i="3"/>
  <c r="I24" i="3"/>
  <c r="I23" i="3"/>
  <c r="I22" i="3"/>
  <c r="I21" i="3"/>
  <c r="I20" i="3"/>
  <c r="I19" i="3"/>
  <c r="I18" i="3"/>
  <c r="H26" i="64"/>
  <c r="G26" i="64"/>
  <c r="I25" i="64"/>
  <c r="I24" i="64"/>
  <c r="I23" i="64"/>
  <c r="I22" i="64"/>
  <c r="I21" i="64"/>
  <c r="I20" i="64"/>
  <c r="I19" i="64"/>
  <c r="I18" i="64"/>
  <c r="H26" i="63"/>
  <c r="G26" i="63"/>
  <c r="I25" i="63"/>
  <c r="I24" i="63"/>
  <c r="I23" i="63"/>
  <c r="I22" i="63"/>
  <c r="I21" i="63"/>
  <c r="I20" i="63"/>
  <c r="I19" i="63"/>
  <c r="I18" i="63"/>
  <c r="I25" i="60"/>
  <c r="I24" i="60"/>
  <c r="I23" i="60"/>
  <c r="I22" i="60"/>
  <c r="I21" i="60"/>
  <c r="I20" i="60"/>
  <c r="I19" i="60"/>
  <c r="G26" i="60"/>
  <c r="C23" i="12"/>
  <c r="L3" i="69" l="1"/>
  <c r="R3" i="69"/>
  <c r="F3" i="69"/>
  <c r="J3" i="69" s="1"/>
  <c r="N3" i="69"/>
  <c r="P3" i="69"/>
  <c r="F5" i="69"/>
  <c r="F7" i="69"/>
  <c r="F9" i="69"/>
  <c r="F11" i="69"/>
  <c r="N5" i="69"/>
  <c r="N7" i="69"/>
  <c r="N9" i="69"/>
  <c r="N11" i="69"/>
  <c r="L5" i="69"/>
  <c r="L7" i="69"/>
  <c r="L9" i="69"/>
  <c r="L11" i="69"/>
  <c r="J5" i="69"/>
  <c r="J7" i="69"/>
  <c r="J9" i="69"/>
  <c r="J11" i="69"/>
  <c r="P5" i="69"/>
  <c r="P7" i="69"/>
  <c r="P9" i="69"/>
  <c r="P11" i="69"/>
  <c r="R5" i="69"/>
  <c r="R7" i="69"/>
  <c r="R9" i="69"/>
  <c r="R11" i="69"/>
  <c r="F4" i="69"/>
  <c r="F6" i="69"/>
  <c r="F8" i="69"/>
  <c r="F10" i="69"/>
  <c r="F12" i="69"/>
  <c r="N4" i="69"/>
  <c r="N6" i="69"/>
  <c r="N8" i="69"/>
  <c r="N10" i="69"/>
  <c r="N12" i="69"/>
  <c r="L4" i="69"/>
  <c r="L6" i="69"/>
  <c r="L8" i="69"/>
  <c r="L10" i="69"/>
  <c r="L12" i="69"/>
  <c r="J4" i="69"/>
  <c r="J6" i="69"/>
  <c r="J8" i="69"/>
  <c r="J10" i="69"/>
  <c r="J12" i="69"/>
  <c r="P4" i="69"/>
  <c r="P6" i="69"/>
  <c r="P8" i="69"/>
  <c r="P10" i="69"/>
  <c r="P12" i="69"/>
  <c r="R4" i="69"/>
  <c r="R6" i="69"/>
  <c r="R8" i="69"/>
  <c r="R10" i="69"/>
  <c r="R12" i="69"/>
  <c r="L15" i="69"/>
  <c r="S2" i="69"/>
  <c r="Q2" i="69"/>
  <c r="O2" i="69"/>
  <c r="M2" i="69"/>
  <c r="K2" i="69"/>
  <c r="I2" i="69"/>
  <c r="J2" i="69" s="1"/>
  <c r="H15" i="68"/>
  <c r="G14" i="69"/>
  <c r="G13" i="69"/>
  <c r="G12" i="69"/>
  <c r="G11" i="69"/>
  <c r="G10" i="69"/>
  <c r="G9" i="69"/>
  <c r="G8" i="69"/>
  <c r="G7" i="69"/>
  <c r="G6" i="69"/>
  <c r="G5" i="69"/>
  <c r="G4" i="69"/>
  <c r="G3" i="69"/>
  <c r="K23" i="66"/>
  <c r="K20" i="66"/>
  <c r="K14" i="66"/>
  <c r="K23" i="65"/>
  <c r="K20" i="65"/>
  <c r="K14" i="65"/>
  <c r="K23" i="3"/>
  <c r="K20" i="3"/>
  <c r="K14" i="3"/>
  <c r="K23" i="64"/>
  <c r="K20" i="64"/>
  <c r="K14" i="64"/>
  <c r="K23" i="63"/>
  <c r="K20" i="63"/>
  <c r="K14" i="63"/>
  <c r="K23" i="60"/>
  <c r="K20" i="60"/>
  <c r="K14" i="60"/>
  <c r="N15" i="69" l="1"/>
  <c r="E15" i="69"/>
  <c r="D15" i="69"/>
  <c r="H14" i="69"/>
  <c r="H13" i="69"/>
  <c r="H12" i="69"/>
  <c r="H11" i="69"/>
  <c r="H10" i="69"/>
  <c r="H9" i="69"/>
  <c r="H8" i="69"/>
  <c r="H7" i="69"/>
  <c r="H6" i="69"/>
  <c r="H5" i="69"/>
  <c r="H4" i="69"/>
  <c r="H3" i="69"/>
  <c r="J15" i="69" l="1"/>
  <c r="O3" i="69"/>
  <c r="Q3" i="69"/>
  <c r="M3" i="69"/>
  <c r="K3" i="69"/>
  <c r="I3" i="69"/>
  <c r="S3" i="69"/>
  <c r="S5" i="69"/>
  <c r="O5" i="69"/>
  <c r="M5" i="69"/>
  <c r="K5" i="69"/>
  <c r="I5" i="69"/>
  <c r="Q5" i="69"/>
  <c r="S7" i="69"/>
  <c r="O7" i="69"/>
  <c r="M7" i="69"/>
  <c r="K7" i="69"/>
  <c r="I7" i="69"/>
  <c r="Q7" i="69"/>
  <c r="S9" i="69"/>
  <c r="O9" i="69"/>
  <c r="M9" i="69"/>
  <c r="K9" i="69"/>
  <c r="I9" i="69"/>
  <c r="Q9" i="69"/>
  <c r="Q12" i="69"/>
  <c r="S12" i="69"/>
  <c r="O12" i="69"/>
  <c r="M12" i="69"/>
  <c r="K12" i="69"/>
  <c r="I12" i="69"/>
  <c r="Q4" i="69"/>
  <c r="S4" i="69"/>
  <c r="O4" i="69"/>
  <c r="M4" i="69"/>
  <c r="K4" i="69"/>
  <c r="I4" i="69"/>
  <c r="Q6" i="69"/>
  <c r="S6" i="69"/>
  <c r="O6" i="69"/>
  <c r="M6" i="69"/>
  <c r="K6" i="69"/>
  <c r="I6" i="69"/>
  <c r="Q8" i="69"/>
  <c r="S8" i="69"/>
  <c r="O8" i="69"/>
  <c r="M8" i="69"/>
  <c r="K8" i="69"/>
  <c r="I8" i="69"/>
  <c r="Q10" i="69"/>
  <c r="S10" i="69"/>
  <c r="O10" i="69"/>
  <c r="M10" i="69"/>
  <c r="K10" i="69"/>
  <c r="I10" i="69"/>
  <c r="S11" i="69"/>
  <c r="O11" i="69"/>
  <c r="M11" i="69"/>
  <c r="K11" i="69"/>
  <c r="I11" i="69"/>
  <c r="Q11" i="69"/>
  <c r="S13" i="69"/>
  <c r="O13" i="69"/>
  <c r="M13" i="69"/>
  <c r="K13" i="69"/>
  <c r="I13" i="69"/>
  <c r="Q13" i="69"/>
  <c r="Q14" i="69"/>
  <c r="S14" i="69"/>
  <c r="O14" i="69"/>
  <c r="M14" i="69"/>
  <c r="K14" i="69"/>
  <c r="I14" i="69"/>
  <c r="F15" i="69"/>
  <c r="T15" i="69" l="1"/>
  <c r="R15" i="69"/>
  <c r="P15" i="69"/>
  <c r="S15" i="69"/>
  <c r="O15" i="69"/>
  <c r="K15" i="69"/>
  <c r="I15" i="69"/>
  <c r="Q15" i="69"/>
  <c r="M15" i="69"/>
  <c r="K16" i="68" l="1"/>
  <c r="K17" i="68"/>
  <c r="K18" i="68"/>
  <c r="K19" i="68"/>
  <c r="K20" i="68"/>
  <c r="K21" i="68"/>
  <c r="K22" i="68"/>
  <c r="K23" i="68"/>
  <c r="K24" i="68"/>
  <c r="K25" i="68"/>
  <c r="K26" i="68"/>
  <c r="K15" i="68"/>
  <c r="H16" i="68" l="1"/>
  <c r="H17" i="68"/>
  <c r="H18" i="68"/>
  <c r="H19" i="68"/>
  <c r="H20" i="68"/>
  <c r="H21" i="68"/>
  <c r="H22" i="68"/>
  <c r="H23" i="68"/>
  <c r="H24" i="68"/>
  <c r="H25" i="68"/>
  <c r="H26" i="68"/>
  <c r="F27" i="68"/>
  <c r="E27" i="68"/>
  <c r="W26" i="68"/>
  <c r="G26" i="68"/>
  <c r="U25" i="68"/>
  <c r="G25" i="68"/>
  <c r="V24" i="68"/>
  <c r="G24" i="68"/>
  <c r="M23" i="68"/>
  <c r="G23" i="68"/>
  <c r="W22" i="68"/>
  <c r="G22" i="68"/>
  <c r="U21" i="68"/>
  <c r="G21" i="68"/>
  <c r="V20" i="68"/>
  <c r="G20" i="68"/>
  <c r="W19" i="68"/>
  <c r="G19" i="68"/>
  <c r="W18" i="68"/>
  <c r="G18" i="68"/>
  <c r="U17" i="68"/>
  <c r="G17" i="68"/>
  <c r="V16" i="68"/>
  <c r="G16" i="68"/>
  <c r="W15" i="68"/>
  <c r="V15" i="68"/>
  <c r="Q15" i="68"/>
  <c r="P15" i="68"/>
  <c r="O15" i="68"/>
  <c r="N15" i="68"/>
  <c r="G15" i="68"/>
  <c r="I15" i="68" s="1"/>
  <c r="V14" i="68"/>
  <c r="T14" i="68"/>
  <c r="R14" i="68"/>
  <c r="P14" i="68"/>
  <c r="N14" i="68"/>
  <c r="L14" i="68"/>
  <c r="G8" i="68"/>
  <c r="F8" i="68"/>
  <c r="E7" i="68"/>
  <c r="V25" i="66"/>
  <c r="U25" i="66"/>
  <c r="V24" i="66"/>
  <c r="U24" i="66"/>
  <c r="V23" i="66"/>
  <c r="U23" i="66"/>
  <c r="V22" i="66"/>
  <c r="U22" i="66"/>
  <c r="V21" i="66"/>
  <c r="U21" i="66"/>
  <c r="V20" i="66"/>
  <c r="U20" i="66"/>
  <c r="V19" i="66"/>
  <c r="U19" i="66"/>
  <c r="V18" i="66"/>
  <c r="U18" i="66"/>
  <c r="V17" i="66"/>
  <c r="U17" i="66"/>
  <c r="V16" i="66"/>
  <c r="U16" i="66"/>
  <c r="V15" i="66"/>
  <c r="U15" i="66"/>
  <c r="V14" i="66"/>
  <c r="U14" i="66"/>
  <c r="V25" i="65"/>
  <c r="U25" i="65"/>
  <c r="V24" i="65"/>
  <c r="U24" i="65"/>
  <c r="V23" i="65"/>
  <c r="U23" i="65"/>
  <c r="V22" i="65"/>
  <c r="U22" i="65"/>
  <c r="V21" i="65"/>
  <c r="U21" i="65"/>
  <c r="V20" i="65"/>
  <c r="U20" i="65"/>
  <c r="V19" i="65"/>
  <c r="U19" i="65"/>
  <c r="V18" i="65"/>
  <c r="U18" i="65"/>
  <c r="V17" i="65"/>
  <c r="U17" i="65"/>
  <c r="V16" i="65"/>
  <c r="U16" i="65"/>
  <c r="V15" i="65"/>
  <c r="U15" i="65"/>
  <c r="V14" i="65"/>
  <c r="U14" i="65"/>
  <c r="V25" i="3"/>
  <c r="U25" i="3"/>
  <c r="V24" i="3"/>
  <c r="U24" i="3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15" i="3"/>
  <c r="U15" i="3"/>
  <c r="V14" i="3"/>
  <c r="U14" i="3"/>
  <c r="V25" i="64"/>
  <c r="U25" i="64"/>
  <c r="V24" i="64"/>
  <c r="U24" i="64"/>
  <c r="V23" i="64"/>
  <c r="U23" i="64"/>
  <c r="V22" i="64"/>
  <c r="U22" i="64"/>
  <c r="V21" i="64"/>
  <c r="U21" i="64"/>
  <c r="V20" i="64"/>
  <c r="U20" i="64"/>
  <c r="V19" i="64"/>
  <c r="U19" i="64"/>
  <c r="V18" i="64"/>
  <c r="U18" i="64"/>
  <c r="V17" i="64"/>
  <c r="U17" i="64"/>
  <c r="V16" i="64"/>
  <c r="U16" i="64"/>
  <c r="V15" i="64"/>
  <c r="U15" i="64"/>
  <c r="V14" i="64"/>
  <c r="U14" i="64"/>
  <c r="V25" i="63"/>
  <c r="U25" i="63"/>
  <c r="V24" i="63"/>
  <c r="U24" i="63"/>
  <c r="V23" i="63"/>
  <c r="U23" i="63"/>
  <c r="V22" i="63"/>
  <c r="U22" i="63"/>
  <c r="V21" i="63"/>
  <c r="U21" i="63"/>
  <c r="V20" i="63"/>
  <c r="U20" i="63"/>
  <c r="V19" i="63"/>
  <c r="U19" i="63"/>
  <c r="V18" i="63"/>
  <c r="U18" i="63"/>
  <c r="V17" i="63"/>
  <c r="U17" i="63"/>
  <c r="V16" i="63"/>
  <c r="U16" i="63"/>
  <c r="V15" i="63"/>
  <c r="U15" i="63"/>
  <c r="V14" i="63"/>
  <c r="U14" i="63"/>
  <c r="O16" i="68" l="1"/>
  <c r="W23" i="68"/>
  <c r="M19" i="68"/>
  <c r="Q18" i="68"/>
  <c r="M18" i="68"/>
  <c r="T18" i="68"/>
  <c r="T19" i="68"/>
  <c r="M22" i="68"/>
  <c r="T22" i="68"/>
  <c r="T23" i="68"/>
  <c r="M26" i="68"/>
  <c r="T26" i="68"/>
  <c r="N18" i="68"/>
  <c r="V18" i="68"/>
  <c r="L19" i="68"/>
  <c r="U19" i="68"/>
  <c r="N22" i="68"/>
  <c r="V22" i="68"/>
  <c r="L23" i="68"/>
  <c r="U23" i="68"/>
  <c r="N26" i="68"/>
  <c r="V26" i="68"/>
  <c r="Q22" i="68"/>
  <c r="Q26" i="68"/>
  <c r="L18" i="68"/>
  <c r="R18" i="68"/>
  <c r="P19" i="68"/>
  <c r="L22" i="68"/>
  <c r="R22" i="68"/>
  <c r="P23" i="68"/>
  <c r="L26" i="68"/>
  <c r="R26" i="68"/>
  <c r="N17" i="68"/>
  <c r="N21" i="68"/>
  <c r="V17" i="68"/>
  <c r="P18" i="68"/>
  <c r="U18" i="68"/>
  <c r="Q19" i="68"/>
  <c r="V21" i="68"/>
  <c r="P22" i="68"/>
  <c r="U22" i="68"/>
  <c r="Q23" i="68"/>
  <c r="V25" i="68"/>
  <c r="P26" i="68"/>
  <c r="U26" i="68"/>
  <c r="N25" i="68"/>
  <c r="R17" i="68"/>
  <c r="R21" i="68"/>
  <c r="R25" i="68"/>
  <c r="M16" i="68"/>
  <c r="T15" i="68"/>
  <c r="M15" i="68"/>
  <c r="S16" i="68"/>
  <c r="W16" i="68"/>
  <c r="O20" i="68"/>
  <c r="W20" i="68"/>
  <c r="O24" i="68"/>
  <c r="L16" i="68"/>
  <c r="P16" i="68"/>
  <c r="T16" i="68"/>
  <c r="O17" i="68"/>
  <c r="L20" i="68"/>
  <c r="O21" i="68"/>
  <c r="S21" i="68"/>
  <c r="W21" i="68"/>
  <c r="L24" i="68"/>
  <c r="P24" i="68"/>
  <c r="T24" i="68"/>
  <c r="O25" i="68"/>
  <c r="S25" i="68"/>
  <c r="W25" i="68"/>
  <c r="G27" i="68"/>
  <c r="Q16" i="68"/>
  <c r="U16" i="68"/>
  <c r="L17" i="68"/>
  <c r="P17" i="68"/>
  <c r="T17" i="68"/>
  <c r="O18" i="68"/>
  <c r="S18" i="68"/>
  <c r="N19" i="68"/>
  <c r="R19" i="68"/>
  <c r="V19" i="68"/>
  <c r="M20" i="68"/>
  <c r="Q20" i="68"/>
  <c r="U20" i="68"/>
  <c r="L21" i="68"/>
  <c r="P21" i="68"/>
  <c r="T21" i="68"/>
  <c r="O22" i="68"/>
  <c r="S22" i="68"/>
  <c r="N23" i="68"/>
  <c r="R23" i="68"/>
  <c r="V23" i="68"/>
  <c r="M24" i="68"/>
  <c r="Q24" i="68"/>
  <c r="U24" i="68"/>
  <c r="L25" i="68"/>
  <c r="P25" i="68"/>
  <c r="T25" i="68"/>
  <c r="O26" i="68"/>
  <c r="S26" i="68"/>
  <c r="S20" i="68"/>
  <c r="S24" i="68"/>
  <c r="W24" i="68"/>
  <c r="S17" i="68"/>
  <c r="W17" i="68"/>
  <c r="P20" i="68"/>
  <c r="T20" i="68"/>
  <c r="N16" i="68"/>
  <c r="R16" i="68"/>
  <c r="M17" i="68"/>
  <c r="Q17" i="68"/>
  <c r="O19" i="68"/>
  <c r="S19" i="68"/>
  <c r="N20" i="68"/>
  <c r="R20" i="68"/>
  <c r="M21" i="68"/>
  <c r="Q21" i="68"/>
  <c r="O23" i="68"/>
  <c r="S23" i="68"/>
  <c r="N24" i="68"/>
  <c r="R24" i="68"/>
  <c r="M25" i="68"/>
  <c r="Q25" i="68"/>
  <c r="I27" i="68" l="1"/>
  <c r="R15" i="68"/>
  <c r="R27" i="68" s="1"/>
  <c r="L15" i="68"/>
  <c r="L27" i="68" s="1"/>
  <c r="U15" i="68"/>
  <c r="U27" i="68" s="1"/>
  <c r="S15" i="68"/>
  <c r="S27" i="68" s="1"/>
  <c r="V27" i="68"/>
  <c r="W27" i="68"/>
  <c r="N27" i="68"/>
  <c r="O27" i="68"/>
  <c r="P27" i="68"/>
  <c r="Q27" i="68"/>
  <c r="M27" i="68"/>
  <c r="J27" i="68"/>
  <c r="T27" i="68"/>
  <c r="M130" i="1"/>
  <c r="M125" i="1"/>
  <c r="D8" i="66"/>
  <c r="D8" i="65"/>
  <c r="D9" i="3"/>
  <c r="D9" i="64"/>
  <c r="W26" i="66"/>
  <c r="T26" i="66"/>
  <c r="P26" i="66"/>
  <c r="N26" i="66"/>
  <c r="L26" i="66"/>
  <c r="D26" i="66"/>
  <c r="M25" i="66"/>
  <c r="O25" i="66" s="1"/>
  <c r="M24" i="66"/>
  <c r="O24" i="66" s="1"/>
  <c r="M23" i="66"/>
  <c r="O23" i="66" s="1"/>
  <c r="M22" i="66"/>
  <c r="O22" i="66" s="1"/>
  <c r="M21" i="66"/>
  <c r="O21" i="66" s="1"/>
  <c r="M20" i="66"/>
  <c r="O20" i="66" s="1"/>
  <c r="E20" i="66" s="1"/>
  <c r="M19" i="66"/>
  <c r="O19" i="66" s="1"/>
  <c r="M18" i="66"/>
  <c r="O18" i="66" s="1"/>
  <c r="E18" i="66" s="1"/>
  <c r="M17" i="66"/>
  <c r="O17" i="66" s="1"/>
  <c r="M16" i="66"/>
  <c r="O16" i="66" s="1"/>
  <c r="M15" i="66"/>
  <c r="M14" i="66"/>
  <c r="O14" i="66" s="1"/>
  <c r="W26" i="65"/>
  <c r="T26" i="65"/>
  <c r="P26" i="65"/>
  <c r="N26" i="65"/>
  <c r="L26" i="65"/>
  <c r="D26" i="65"/>
  <c r="M25" i="65"/>
  <c r="O25" i="65" s="1"/>
  <c r="M24" i="65"/>
  <c r="O24" i="65" s="1"/>
  <c r="E24" i="65" s="1"/>
  <c r="M23" i="65"/>
  <c r="O23" i="65" s="1"/>
  <c r="O22" i="65"/>
  <c r="M22" i="65"/>
  <c r="M21" i="65"/>
  <c r="O21" i="65" s="1"/>
  <c r="M20" i="65"/>
  <c r="O20" i="65" s="1"/>
  <c r="M19" i="65"/>
  <c r="O19" i="65" s="1"/>
  <c r="M18" i="65"/>
  <c r="O18" i="65" s="1"/>
  <c r="M17" i="65"/>
  <c r="O17" i="65" s="1"/>
  <c r="M16" i="65"/>
  <c r="O16" i="65" s="1"/>
  <c r="E16" i="65" s="1"/>
  <c r="M15" i="65"/>
  <c r="M14" i="65"/>
  <c r="O14" i="65" s="1"/>
  <c r="W26" i="3"/>
  <c r="T26" i="3"/>
  <c r="P26" i="3"/>
  <c r="N26" i="3"/>
  <c r="L26" i="3"/>
  <c r="D26" i="3"/>
  <c r="M25" i="3"/>
  <c r="O25" i="3" s="1"/>
  <c r="M24" i="3"/>
  <c r="O24" i="3" s="1"/>
  <c r="E24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E16" i="3" s="1"/>
  <c r="M15" i="3"/>
  <c r="M14" i="3"/>
  <c r="O14" i="3" s="1"/>
  <c r="W26" i="64"/>
  <c r="T26" i="64"/>
  <c r="P26" i="64"/>
  <c r="N26" i="64"/>
  <c r="L26" i="64"/>
  <c r="D26" i="64"/>
  <c r="M25" i="64"/>
  <c r="O25" i="64" s="1"/>
  <c r="M24" i="64"/>
  <c r="O24" i="64" s="1"/>
  <c r="M23" i="64"/>
  <c r="O23" i="64" s="1"/>
  <c r="M22" i="64"/>
  <c r="O22" i="64" s="1"/>
  <c r="E22" i="64" s="1"/>
  <c r="M21" i="64"/>
  <c r="O21" i="64" s="1"/>
  <c r="M20" i="64"/>
  <c r="O20" i="64" s="1"/>
  <c r="M19" i="64"/>
  <c r="O19" i="64" s="1"/>
  <c r="M18" i="64"/>
  <c r="O18" i="64" s="1"/>
  <c r="E18" i="64" s="1"/>
  <c r="M17" i="64"/>
  <c r="O17" i="64" s="1"/>
  <c r="M16" i="64"/>
  <c r="O16" i="64" s="1"/>
  <c r="M15" i="64"/>
  <c r="O15" i="64" s="1"/>
  <c r="U26" i="64"/>
  <c r="M14" i="64"/>
  <c r="W26" i="63"/>
  <c r="T26" i="63"/>
  <c r="P26" i="63"/>
  <c r="N26" i="63"/>
  <c r="L26" i="63"/>
  <c r="D26" i="63"/>
  <c r="M25" i="63"/>
  <c r="O25" i="63" s="1"/>
  <c r="M24" i="63"/>
  <c r="O24" i="63" s="1"/>
  <c r="M23" i="63"/>
  <c r="O23" i="63" s="1"/>
  <c r="M22" i="63"/>
  <c r="O22" i="63" s="1"/>
  <c r="M21" i="63"/>
  <c r="O21" i="63" s="1"/>
  <c r="M20" i="63"/>
  <c r="O20" i="63" s="1"/>
  <c r="M19" i="63"/>
  <c r="O19" i="63" s="1"/>
  <c r="M18" i="63"/>
  <c r="O18" i="63" s="1"/>
  <c r="M17" i="63"/>
  <c r="O17" i="63" s="1"/>
  <c r="M16" i="63"/>
  <c r="O16" i="63" s="1"/>
  <c r="M15" i="63"/>
  <c r="O15" i="63" s="1"/>
  <c r="M14" i="63"/>
  <c r="M18" i="60"/>
  <c r="M19" i="60"/>
  <c r="M20" i="60"/>
  <c r="M21" i="60"/>
  <c r="M22" i="60"/>
  <c r="M23" i="60"/>
  <c r="M24" i="60"/>
  <c r="M25" i="60"/>
  <c r="M15" i="60"/>
  <c r="M16" i="60"/>
  <c r="M17" i="60"/>
  <c r="M14" i="60"/>
  <c r="C19" i="12"/>
  <c r="I16" i="65" l="1"/>
  <c r="I16" i="3"/>
  <c r="Q17" i="66"/>
  <c r="R17" i="66" s="1"/>
  <c r="S17" i="66" s="1"/>
  <c r="E17" i="66"/>
  <c r="Q19" i="66"/>
  <c r="R19" i="66" s="1"/>
  <c r="S19" i="66" s="1"/>
  <c r="E19" i="66"/>
  <c r="Q21" i="66"/>
  <c r="R21" i="66" s="1"/>
  <c r="S21" i="66" s="1"/>
  <c r="E21" i="66"/>
  <c r="X21" i="66" s="1"/>
  <c r="Y21" i="66" s="1"/>
  <c r="Z21" i="66" s="1"/>
  <c r="Q24" i="66"/>
  <c r="R24" i="66" s="1"/>
  <c r="S24" i="66" s="1"/>
  <c r="E24" i="66"/>
  <c r="X24" i="66" s="1"/>
  <c r="Y24" i="66" s="1"/>
  <c r="Z24" i="66" s="1"/>
  <c r="Q14" i="66"/>
  <c r="R14" i="66" s="1"/>
  <c r="S14" i="66" s="1"/>
  <c r="E14" i="66"/>
  <c r="Q16" i="66"/>
  <c r="R16" i="66" s="1"/>
  <c r="S16" i="66" s="1"/>
  <c r="E16" i="66"/>
  <c r="Q22" i="66"/>
  <c r="R22" i="66" s="1"/>
  <c r="S22" i="66" s="1"/>
  <c r="E22" i="66"/>
  <c r="Q23" i="66"/>
  <c r="R23" i="66" s="1"/>
  <c r="S23" i="66" s="1"/>
  <c r="E23" i="66"/>
  <c r="Q25" i="66"/>
  <c r="R25" i="66" s="1"/>
  <c r="S25" i="66" s="1"/>
  <c r="E25" i="66"/>
  <c r="Q14" i="65"/>
  <c r="E14" i="65"/>
  <c r="Q18" i="65"/>
  <c r="R18" i="65" s="1"/>
  <c r="S18" i="65" s="1"/>
  <c r="E18" i="65"/>
  <c r="X18" i="65" s="1"/>
  <c r="Y18" i="65" s="1"/>
  <c r="Z18" i="65" s="1"/>
  <c r="Q20" i="65"/>
  <c r="R20" i="65" s="1"/>
  <c r="S20" i="65" s="1"/>
  <c r="E20" i="65"/>
  <c r="Q21" i="65"/>
  <c r="R21" i="65" s="1"/>
  <c r="S21" i="65" s="1"/>
  <c r="E21" i="65"/>
  <c r="X21" i="65" s="1"/>
  <c r="Y21" i="65" s="1"/>
  <c r="Z21" i="65" s="1"/>
  <c r="Q22" i="65"/>
  <c r="R22" i="65" s="1"/>
  <c r="S22" i="65" s="1"/>
  <c r="E22" i="65"/>
  <c r="Q17" i="65"/>
  <c r="R17" i="65" s="1"/>
  <c r="S17" i="65" s="1"/>
  <c r="E17" i="65"/>
  <c r="Q19" i="65"/>
  <c r="R19" i="65" s="1"/>
  <c r="S19" i="65" s="1"/>
  <c r="E19" i="65"/>
  <c r="Q23" i="65"/>
  <c r="R23" i="65" s="1"/>
  <c r="S23" i="65" s="1"/>
  <c r="E23" i="65"/>
  <c r="Q25" i="65"/>
  <c r="R25" i="65" s="1"/>
  <c r="S25" i="65" s="1"/>
  <c r="E25" i="65"/>
  <c r="Q17" i="3"/>
  <c r="R17" i="3" s="1"/>
  <c r="S17" i="3" s="1"/>
  <c r="E17" i="3"/>
  <c r="Q19" i="3"/>
  <c r="R19" i="3" s="1"/>
  <c r="S19" i="3" s="1"/>
  <c r="E19" i="3"/>
  <c r="Q21" i="3"/>
  <c r="R21" i="3" s="1"/>
  <c r="S21" i="3" s="1"/>
  <c r="E21" i="3"/>
  <c r="X21" i="3" s="1"/>
  <c r="Y21" i="3" s="1"/>
  <c r="Z21" i="3" s="1"/>
  <c r="Q23" i="3"/>
  <c r="R23" i="3" s="1"/>
  <c r="S23" i="3" s="1"/>
  <c r="E23" i="3"/>
  <c r="Q25" i="3"/>
  <c r="R25" i="3" s="1"/>
  <c r="S25" i="3" s="1"/>
  <c r="E25" i="3"/>
  <c r="Q14" i="3"/>
  <c r="E14" i="3"/>
  <c r="Q18" i="3"/>
  <c r="R18" i="3" s="1"/>
  <c r="S18" i="3" s="1"/>
  <c r="E18" i="3"/>
  <c r="X18" i="3" s="1"/>
  <c r="Y18" i="3" s="1"/>
  <c r="Z18" i="3" s="1"/>
  <c r="Q20" i="3"/>
  <c r="R20" i="3" s="1"/>
  <c r="S20" i="3" s="1"/>
  <c r="E20" i="3"/>
  <c r="Q22" i="3"/>
  <c r="R22" i="3" s="1"/>
  <c r="S22" i="3" s="1"/>
  <c r="E22" i="3"/>
  <c r="Q16" i="64"/>
  <c r="R16" i="64" s="1"/>
  <c r="S16" i="64" s="1"/>
  <c r="E16" i="64"/>
  <c r="Q20" i="64"/>
  <c r="R20" i="64" s="1"/>
  <c r="S20" i="64" s="1"/>
  <c r="E20" i="64"/>
  <c r="Q24" i="64"/>
  <c r="R24" i="64" s="1"/>
  <c r="S24" i="64" s="1"/>
  <c r="E24" i="64"/>
  <c r="X24" i="64" s="1"/>
  <c r="Y24" i="64" s="1"/>
  <c r="Z24" i="64" s="1"/>
  <c r="Q15" i="64"/>
  <c r="R15" i="64" s="1"/>
  <c r="S15" i="64" s="1"/>
  <c r="E15" i="64"/>
  <c r="Q17" i="64"/>
  <c r="R17" i="64" s="1"/>
  <c r="S17" i="64" s="1"/>
  <c r="E17" i="64"/>
  <c r="Q19" i="64"/>
  <c r="R19" i="64" s="1"/>
  <c r="S19" i="64" s="1"/>
  <c r="E19" i="64"/>
  <c r="Q21" i="64"/>
  <c r="R21" i="64" s="1"/>
  <c r="S21" i="64" s="1"/>
  <c r="E21" i="64"/>
  <c r="Q23" i="64"/>
  <c r="R23" i="64" s="1"/>
  <c r="S23" i="64" s="1"/>
  <c r="E23" i="64"/>
  <c r="Q25" i="64"/>
  <c r="R25" i="64" s="1"/>
  <c r="S25" i="64" s="1"/>
  <c r="E25" i="64"/>
  <c r="Q16" i="63"/>
  <c r="R16" i="63" s="1"/>
  <c r="S16" i="63" s="1"/>
  <c r="E16" i="63"/>
  <c r="Q18" i="63"/>
  <c r="R18" i="63" s="1"/>
  <c r="S18" i="63" s="1"/>
  <c r="E18" i="63"/>
  <c r="Q20" i="63"/>
  <c r="R20" i="63" s="1"/>
  <c r="S20" i="63" s="1"/>
  <c r="E20" i="63"/>
  <c r="Q22" i="63"/>
  <c r="R22" i="63" s="1"/>
  <c r="S22" i="63" s="1"/>
  <c r="E22" i="63"/>
  <c r="Q24" i="63"/>
  <c r="R24" i="63" s="1"/>
  <c r="S24" i="63" s="1"/>
  <c r="E24" i="63"/>
  <c r="X24" i="63" s="1"/>
  <c r="Y24" i="63" s="1"/>
  <c r="Z24" i="63" s="1"/>
  <c r="Q15" i="63"/>
  <c r="R15" i="63" s="1"/>
  <c r="S15" i="63" s="1"/>
  <c r="E15" i="63"/>
  <c r="Q17" i="63"/>
  <c r="R17" i="63" s="1"/>
  <c r="S17" i="63" s="1"/>
  <c r="E17" i="63"/>
  <c r="Q19" i="63"/>
  <c r="R19" i="63" s="1"/>
  <c r="S19" i="63" s="1"/>
  <c r="E19" i="63"/>
  <c r="Q21" i="63"/>
  <c r="R21" i="63" s="1"/>
  <c r="S21" i="63" s="1"/>
  <c r="E21" i="63"/>
  <c r="X21" i="63" s="1"/>
  <c r="Y21" i="63" s="1"/>
  <c r="Z21" i="63" s="1"/>
  <c r="Q23" i="63"/>
  <c r="R23" i="63" s="1"/>
  <c r="S23" i="63" s="1"/>
  <c r="E23" i="63"/>
  <c r="Q25" i="63"/>
  <c r="R25" i="63" s="1"/>
  <c r="S25" i="63" s="1"/>
  <c r="E25" i="63"/>
  <c r="K21" i="65"/>
  <c r="X24" i="3"/>
  <c r="Y24" i="3" s="1"/>
  <c r="Z24" i="3" s="1"/>
  <c r="X21" i="64"/>
  <c r="Y21" i="64" s="1"/>
  <c r="Z21" i="64" s="1"/>
  <c r="V26" i="66"/>
  <c r="AC26" i="66" s="1"/>
  <c r="M26" i="66"/>
  <c r="M114" i="1" s="1"/>
  <c r="M26" i="65"/>
  <c r="M113" i="1" s="1"/>
  <c r="M26" i="3"/>
  <c r="M112" i="1" s="1"/>
  <c r="V26" i="3"/>
  <c r="M26" i="64"/>
  <c r="D114" i="1" s="1"/>
  <c r="M26" i="63"/>
  <c r="D113" i="1" s="1"/>
  <c r="Q18" i="66"/>
  <c r="R18" i="66" s="1"/>
  <c r="S18" i="66" s="1"/>
  <c r="X18" i="66"/>
  <c r="Y18" i="66" s="1"/>
  <c r="Z18" i="66" s="1"/>
  <c r="Q20" i="66"/>
  <c r="R20" i="66" s="1"/>
  <c r="S20" i="66" s="1"/>
  <c r="U26" i="66"/>
  <c r="Q24" i="65"/>
  <c r="R24" i="65" s="1"/>
  <c r="S24" i="65" s="1"/>
  <c r="X24" i="65"/>
  <c r="Y24" i="65" s="1"/>
  <c r="Z24" i="65" s="1"/>
  <c r="Q16" i="65"/>
  <c r="R16" i="65" s="1"/>
  <c r="S16" i="65" s="1"/>
  <c r="U26" i="65"/>
  <c r="V26" i="65"/>
  <c r="AC26" i="65" s="1"/>
  <c r="Q16" i="3"/>
  <c r="R16" i="3" s="1"/>
  <c r="S16" i="3" s="1"/>
  <c r="Q24" i="3"/>
  <c r="R24" i="3" s="1"/>
  <c r="S24" i="3" s="1"/>
  <c r="U26" i="3"/>
  <c r="Q18" i="64"/>
  <c r="R18" i="64" s="1"/>
  <c r="S18" i="64" s="1"/>
  <c r="X18" i="64"/>
  <c r="Y18" i="64" s="1"/>
  <c r="Z18" i="64" s="1"/>
  <c r="Q22" i="64"/>
  <c r="R22" i="64" s="1"/>
  <c r="S22" i="64" s="1"/>
  <c r="V26" i="64"/>
  <c r="AC26" i="64" s="1"/>
  <c r="O14" i="64"/>
  <c r="U26" i="63"/>
  <c r="V26" i="63"/>
  <c r="O15" i="66"/>
  <c r="R14" i="65"/>
  <c r="S14" i="65" s="1"/>
  <c r="O15" i="65"/>
  <c r="R14" i="3"/>
  <c r="S14" i="3" s="1"/>
  <c r="AC26" i="3"/>
  <c r="O15" i="3"/>
  <c r="X18" i="63"/>
  <c r="Y18" i="63" s="1"/>
  <c r="Z18" i="63" s="1"/>
  <c r="O14" i="63"/>
  <c r="E14" i="63" s="1"/>
  <c r="I16" i="66" l="1"/>
  <c r="X16" i="66" s="1"/>
  <c r="Y16" i="66" s="1"/>
  <c r="Z16" i="66" s="1"/>
  <c r="I14" i="66"/>
  <c r="X14" i="66" s="1"/>
  <c r="I17" i="66"/>
  <c r="I17" i="65"/>
  <c r="I14" i="65"/>
  <c r="X14" i="65" s="1"/>
  <c r="I17" i="3"/>
  <c r="I14" i="63"/>
  <c r="I15" i="63"/>
  <c r="X15" i="63" s="1"/>
  <c r="Y15" i="63" s="1"/>
  <c r="Z15" i="63" s="1"/>
  <c r="I17" i="64"/>
  <c r="I17" i="63"/>
  <c r="I15" i="64"/>
  <c r="X15" i="64" s="1"/>
  <c r="Y15" i="64" s="1"/>
  <c r="Z15" i="64" s="1"/>
  <c r="AA15" i="64" s="1"/>
  <c r="E26" i="63"/>
  <c r="AA24" i="65"/>
  <c r="AB24" i="65"/>
  <c r="AA18" i="66"/>
  <c r="AB18" i="66"/>
  <c r="AA21" i="63"/>
  <c r="AB21" i="63"/>
  <c r="AA24" i="3"/>
  <c r="AB24" i="3"/>
  <c r="AA18" i="63"/>
  <c r="AB18" i="63"/>
  <c r="AA18" i="64"/>
  <c r="AB18" i="64"/>
  <c r="AA21" i="64"/>
  <c r="AB21" i="64"/>
  <c r="AA24" i="63"/>
  <c r="AB24" i="63"/>
  <c r="AA24" i="64"/>
  <c r="AB24" i="64"/>
  <c r="AA18" i="3"/>
  <c r="AB18" i="3"/>
  <c r="AA21" i="3"/>
  <c r="AB21" i="3"/>
  <c r="AA21" i="65"/>
  <c r="AB21" i="65"/>
  <c r="AA18" i="65"/>
  <c r="AB18" i="65"/>
  <c r="AA24" i="66"/>
  <c r="AB24" i="66"/>
  <c r="AA21" i="66"/>
  <c r="AB21" i="66"/>
  <c r="Q15" i="66"/>
  <c r="R15" i="66" s="1"/>
  <c r="S15" i="66" s="1"/>
  <c r="S26" i="66" s="1"/>
  <c r="M109" i="1" s="1"/>
  <c r="E15" i="66"/>
  <c r="F26" i="66" s="1"/>
  <c r="X20" i="66"/>
  <c r="Y20" i="66" s="1"/>
  <c r="Z20" i="66" s="1"/>
  <c r="K22" i="66"/>
  <c r="X22" i="66"/>
  <c r="Y22" i="66" s="1"/>
  <c r="Z22" i="66" s="1"/>
  <c r="K19" i="66"/>
  <c r="X19" i="66"/>
  <c r="Y19" i="66" s="1"/>
  <c r="Z19" i="66" s="1"/>
  <c r="X23" i="66"/>
  <c r="Y23" i="66" s="1"/>
  <c r="Z23" i="66" s="1"/>
  <c r="K25" i="66"/>
  <c r="X25" i="66"/>
  <c r="Y25" i="66" s="1"/>
  <c r="Z25" i="66" s="1"/>
  <c r="K25" i="65"/>
  <c r="X25" i="65"/>
  <c r="Y25" i="65" s="1"/>
  <c r="Z25" i="65" s="1"/>
  <c r="X23" i="65"/>
  <c r="Y23" i="65" s="1"/>
  <c r="Z23" i="65" s="1"/>
  <c r="K19" i="65"/>
  <c r="X19" i="65"/>
  <c r="Y19" i="65" s="1"/>
  <c r="Z19" i="65" s="1"/>
  <c r="K22" i="65"/>
  <c r="X22" i="65"/>
  <c r="Y22" i="65" s="1"/>
  <c r="Z22" i="65" s="1"/>
  <c r="X20" i="65"/>
  <c r="Y20" i="65" s="1"/>
  <c r="Z20" i="65" s="1"/>
  <c r="Q15" i="65"/>
  <c r="R15" i="65" s="1"/>
  <c r="S15" i="65" s="1"/>
  <c r="S26" i="65" s="1"/>
  <c r="M108" i="1" s="1"/>
  <c r="E15" i="65"/>
  <c r="K22" i="3"/>
  <c r="X22" i="3"/>
  <c r="Y22" i="3" s="1"/>
  <c r="Z22" i="3" s="1"/>
  <c r="K25" i="3"/>
  <c r="X25" i="3"/>
  <c r="Y25" i="3" s="1"/>
  <c r="Z25" i="3" s="1"/>
  <c r="X23" i="3"/>
  <c r="Y23" i="3" s="1"/>
  <c r="Z23" i="3" s="1"/>
  <c r="X20" i="3"/>
  <c r="Y20" i="3" s="1"/>
  <c r="Z20" i="3" s="1"/>
  <c r="K19" i="3"/>
  <c r="X19" i="3"/>
  <c r="Y19" i="3" s="1"/>
  <c r="Z19" i="3" s="1"/>
  <c r="O26" i="3"/>
  <c r="E15" i="3"/>
  <c r="K25" i="64"/>
  <c r="X25" i="64"/>
  <c r="Y25" i="64" s="1"/>
  <c r="Z25" i="64" s="1"/>
  <c r="K19" i="64"/>
  <c r="X19" i="64"/>
  <c r="Y19" i="64" s="1"/>
  <c r="Z19" i="64" s="1"/>
  <c r="X23" i="64"/>
  <c r="Y23" i="64" s="1"/>
  <c r="Z23" i="64" s="1"/>
  <c r="X20" i="64"/>
  <c r="Y20" i="64" s="1"/>
  <c r="Z20" i="64" s="1"/>
  <c r="O26" i="64"/>
  <c r="E14" i="64"/>
  <c r="K22" i="64"/>
  <c r="X22" i="64"/>
  <c r="Y22" i="64" s="1"/>
  <c r="Z22" i="64" s="1"/>
  <c r="K25" i="63"/>
  <c r="X25" i="63"/>
  <c r="Y25" i="63" s="1"/>
  <c r="Z25" i="63" s="1"/>
  <c r="X23" i="63"/>
  <c r="Y23" i="63" s="1"/>
  <c r="Z23" i="63" s="1"/>
  <c r="K22" i="63"/>
  <c r="X22" i="63"/>
  <c r="Y22" i="63" s="1"/>
  <c r="Z22" i="63" s="1"/>
  <c r="X20" i="63"/>
  <c r="Y20" i="63" s="1"/>
  <c r="Z20" i="63" s="1"/>
  <c r="K19" i="63"/>
  <c r="X19" i="63"/>
  <c r="Y19" i="63" s="1"/>
  <c r="Z19" i="63" s="1"/>
  <c r="K16" i="66"/>
  <c r="K21" i="66"/>
  <c r="K24" i="66"/>
  <c r="K16" i="65"/>
  <c r="X16" i="65"/>
  <c r="Y16" i="65" s="1"/>
  <c r="Z16" i="65" s="1"/>
  <c r="K24" i="65"/>
  <c r="K24" i="3"/>
  <c r="K16" i="3"/>
  <c r="X16" i="3"/>
  <c r="Y16" i="3" s="1"/>
  <c r="Z16" i="3" s="1"/>
  <c r="K21" i="3"/>
  <c r="K21" i="64"/>
  <c r="K24" i="64"/>
  <c r="K21" i="63"/>
  <c r="K24" i="63"/>
  <c r="K15" i="63"/>
  <c r="K15" i="64"/>
  <c r="K18" i="64"/>
  <c r="K18" i="63"/>
  <c r="K18" i="3"/>
  <c r="K18" i="65"/>
  <c r="K18" i="66"/>
  <c r="Q15" i="3"/>
  <c r="Q14" i="64"/>
  <c r="AC26" i="63"/>
  <c r="R26" i="66"/>
  <c r="M104" i="1" s="1"/>
  <c r="O26" i="66"/>
  <c r="Q26" i="66"/>
  <c r="R26" i="65"/>
  <c r="M103" i="1" s="1"/>
  <c r="O26" i="65"/>
  <c r="Q14" i="63"/>
  <c r="O26" i="63"/>
  <c r="N26" i="60"/>
  <c r="M42" i="1" s="1"/>
  <c r="K17" i="66" l="1"/>
  <c r="X17" i="66"/>
  <c r="Y17" i="66" s="1"/>
  <c r="Z17" i="66" s="1"/>
  <c r="AA17" i="66" s="1"/>
  <c r="K17" i="65"/>
  <c r="X17" i="65"/>
  <c r="Y17" i="65" s="1"/>
  <c r="Z17" i="65" s="1"/>
  <c r="AA17" i="65" s="1"/>
  <c r="F26" i="65"/>
  <c r="K17" i="3"/>
  <c r="X17" i="3"/>
  <c r="Y17" i="3" s="1"/>
  <c r="Z17" i="3" s="1"/>
  <c r="AA17" i="3" s="1"/>
  <c r="F26" i="64"/>
  <c r="F26" i="63"/>
  <c r="F26" i="3"/>
  <c r="AB15" i="64"/>
  <c r="I14" i="3"/>
  <c r="K17" i="64"/>
  <c r="X17" i="64"/>
  <c r="Y17" i="64" s="1"/>
  <c r="Z17" i="64" s="1"/>
  <c r="I16" i="64"/>
  <c r="K17" i="63"/>
  <c r="X17" i="63"/>
  <c r="Y17" i="63" s="1"/>
  <c r="Z17" i="63" s="1"/>
  <c r="AA17" i="63" s="1"/>
  <c r="I16" i="63"/>
  <c r="K16" i="63" s="1"/>
  <c r="E26" i="66"/>
  <c r="I15" i="66"/>
  <c r="E26" i="65"/>
  <c r="I15" i="65"/>
  <c r="I26" i="65" s="1"/>
  <c r="E26" i="3"/>
  <c r="I15" i="3"/>
  <c r="I26" i="3" s="1"/>
  <c r="E26" i="64"/>
  <c r="I14" i="64"/>
  <c r="I26" i="64" s="1"/>
  <c r="AA19" i="3"/>
  <c r="AB19" i="3"/>
  <c r="AA20" i="3"/>
  <c r="AB20" i="3"/>
  <c r="AA23" i="3"/>
  <c r="AB23" i="3"/>
  <c r="AA25" i="3"/>
  <c r="AB25" i="3"/>
  <c r="AA22" i="3"/>
  <c r="AB22" i="3"/>
  <c r="AA20" i="65"/>
  <c r="AB20" i="65"/>
  <c r="AA22" i="65"/>
  <c r="AB22" i="65"/>
  <c r="AA19" i="65"/>
  <c r="AB19" i="65"/>
  <c r="AA23" i="65"/>
  <c r="AB23" i="65"/>
  <c r="AA25" i="65"/>
  <c r="AB25" i="65"/>
  <c r="AA25" i="66"/>
  <c r="AB25" i="66"/>
  <c r="AA23" i="66"/>
  <c r="AB23" i="66"/>
  <c r="AA19" i="66"/>
  <c r="AB19" i="66"/>
  <c r="AA22" i="66"/>
  <c r="AB22" i="66"/>
  <c r="AA20" i="66"/>
  <c r="AB20" i="66"/>
  <c r="AA19" i="63"/>
  <c r="AB19" i="63"/>
  <c r="AA20" i="63"/>
  <c r="AB20" i="63"/>
  <c r="AA22" i="63"/>
  <c r="AB22" i="63"/>
  <c r="AA23" i="63"/>
  <c r="AB23" i="63"/>
  <c r="AA25" i="63"/>
  <c r="AB25" i="63"/>
  <c r="AA22" i="64"/>
  <c r="AB22" i="64"/>
  <c r="AA20" i="64"/>
  <c r="AB20" i="64"/>
  <c r="AA23" i="64"/>
  <c r="AB23" i="64"/>
  <c r="AA19" i="64"/>
  <c r="AB19" i="64"/>
  <c r="AA25" i="64"/>
  <c r="AB25" i="64"/>
  <c r="AB17" i="66"/>
  <c r="AA16" i="66"/>
  <c r="AB16" i="66"/>
  <c r="AB17" i="65"/>
  <c r="Q26" i="65"/>
  <c r="AA16" i="65"/>
  <c r="AB16" i="65"/>
  <c r="AA16" i="3"/>
  <c r="AB16" i="3"/>
  <c r="AA17" i="64"/>
  <c r="AB17" i="64"/>
  <c r="AA15" i="63"/>
  <c r="AB15" i="63"/>
  <c r="AB17" i="63"/>
  <c r="X15" i="65"/>
  <c r="Y15" i="65" s="1"/>
  <c r="Z15" i="65" s="1"/>
  <c r="X15" i="3"/>
  <c r="Y15" i="3" s="1"/>
  <c r="Z15" i="3" s="1"/>
  <c r="Y14" i="66"/>
  <c r="Y14" i="65"/>
  <c r="J26" i="64"/>
  <c r="D94" i="1" s="1"/>
  <c r="X14" i="64"/>
  <c r="J26" i="63"/>
  <c r="D93" i="1" s="1"/>
  <c r="X14" i="63"/>
  <c r="K15" i="3"/>
  <c r="K26" i="3" s="1"/>
  <c r="M97" i="1" s="1"/>
  <c r="K15" i="65"/>
  <c r="K26" i="65" s="1"/>
  <c r="M98" i="1" s="1"/>
  <c r="J26" i="65"/>
  <c r="M93" i="1" s="1"/>
  <c r="J26" i="66"/>
  <c r="M94" i="1" s="1"/>
  <c r="K15" i="66"/>
  <c r="K26" i="66" s="1"/>
  <c r="M99" i="1" s="1"/>
  <c r="K26" i="63"/>
  <c r="D98" i="1" s="1"/>
  <c r="R15" i="3"/>
  <c r="S15" i="3" s="1"/>
  <c r="Q26" i="3"/>
  <c r="Q26" i="64"/>
  <c r="R14" i="64"/>
  <c r="S14" i="64" s="1"/>
  <c r="Q26" i="63"/>
  <c r="R14" i="63"/>
  <c r="S14" i="63" s="1"/>
  <c r="AB17" i="3" l="1"/>
  <c r="I26" i="66"/>
  <c r="X15" i="66"/>
  <c r="X16" i="64"/>
  <c r="Y16" i="64" s="1"/>
  <c r="Z16" i="64" s="1"/>
  <c r="K16" i="64"/>
  <c r="K26" i="64" s="1"/>
  <c r="D99" i="1" s="1"/>
  <c r="X14" i="3"/>
  <c r="I26" i="63"/>
  <c r="X16" i="63"/>
  <c r="Y16" i="63" s="1"/>
  <c r="Z16" i="63" s="1"/>
  <c r="AA15" i="65"/>
  <c r="AB15" i="65"/>
  <c r="AA15" i="3"/>
  <c r="AB15" i="3"/>
  <c r="X26" i="65"/>
  <c r="Z14" i="66"/>
  <c r="AB14" i="66" s="1"/>
  <c r="Y26" i="65"/>
  <c r="Z14" i="65"/>
  <c r="AB14" i="65" s="1"/>
  <c r="AB26" i="65" s="1"/>
  <c r="X26" i="64"/>
  <c r="Y14" i="64"/>
  <c r="Y14" i="63"/>
  <c r="S26" i="3"/>
  <c r="M107" i="1" s="1"/>
  <c r="R26" i="3"/>
  <c r="M102" i="1" s="1"/>
  <c r="R26" i="64"/>
  <c r="D104" i="1" s="1"/>
  <c r="S26" i="64"/>
  <c r="D109" i="1" s="1"/>
  <c r="R26" i="63"/>
  <c r="D103" i="1" s="1"/>
  <c r="S26" i="63"/>
  <c r="D108" i="1" s="1"/>
  <c r="Y15" i="66" l="1"/>
  <c r="X26" i="66"/>
  <c r="AA16" i="64"/>
  <c r="AB16" i="64"/>
  <c r="J26" i="3"/>
  <c r="M92" i="1" s="1"/>
  <c r="X26" i="3"/>
  <c r="Y14" i="3"/>
  <c r="AA16" i="63"/>
  <c r="AB16" i="63"/>
  <c r="X26" i="63"/>
  <c r="AA14" i="66"/>
  <c r="Z26" i="65"/>
  <c r="M133" i="1" s="1"/>
  <c r="AA14" i="65"/>
  <c r="AA26" i="65" s="1"/>
  <c r="M138" i="1" s="1"/>
  <c r="Z14" i="64"/>
  <c r="AB14" i="64" s="1"/>
  <c r="Y26" i="64"/>
  <c r="Z14" i="63"/>
  <c r="AB14" i="63" s="1"/>
  <c r="Y26" i="63"/>
  <c r="W26" i="60"/>
  <c r="AB26" i="63" l="1"/>
  <c r="Z15" i="66"/>
  <c r="Y26" i="66"/>
  <c r="AB26" i="64"/>
  <c r="Y26" i="3"/>
  <c r="Z14" i="3"/>
  <c r="Z26" i="64"/>
  <c r="D134" i="1" s="1"/>
  <c r="AA14" i="64"/>
  <c r="AA26" i="64" s="1"/>
  <c r="D139" i="1" s="1"/>
  <c r="Z26" i="63"/>
  <c r="D133" i="1" s="1"/>
  <c r="AA14" i="63"/>
  <c r="AA26" i="63" s="1"/>
  <c r="D138" i="1" s="1"/>
  <c r="M88" i="1"/>
  <c r="M74" i="1"/>
  <c r="M79" i="1" s="1"/>
  <c r="M84" i="1" s="1"/>
  <c r="E8" i="66"/>
  <c r="D7" i="66"/>
  <c r="E8" i="65"/>
  <c r="D7" i="65"/>
  <c r="E9" i="3"/>
  <c r="D8" i="3"/>
  <c r="E9" i="64"/>
  <c r="D8" i="64"/>
  <c r="H9" i="63"/>
  <c r="E9" i="63"/>
  <c r="E8" i="63"/>
  <c r="T26" i="60"/>
  <c r="P26" i="60"/>
  <c r="L26" i="60"/>
  <c r="H26" i="60"/>
  <c r="D26" i="60"/>
  <c r="V25" i="60"/>
  <c r="U25" i="60"/>
  <c r="O25" i="60"/>
  <c r="V24" i="60"/>
  <c r="U24" i="60"/>
  <c r="O24" i="60"/>
  <c r="E24" i="60" s="1"/>
  <c r="V23" i="60"/>
  <c r="U23" i="60"/>
  <c r="O23" i="60"/>
  <c r="V22" i="60"/>
  <c r="U22" i="60"/>
  <c r="O22" i="60"/>
  <c r="E22" i="60" s="1"/>
  <c r="V21" i="60"/>
  <c r="U21" i="60"/>
  <c r="O21" i="60"/>
  <c r="V20" i="60"/>
  <c r="U20" i="60"/>
  <c r="O20" i="60"/>
  <c r="E20" i="60" s="1"/>
  <c r="V19" i="60"/>
  <c r="U19" i="60"/>
  <c r="O19" i="60"/>
  <c r="V18" i="60"/>
  <c r="U18" i="60"/>
  <c r="O18" i="60"/>
  <c r="E18" i="60" s="1"/>
  <c r="V17" i="60"/>
  <c r="U17" i="60"/>
  <c r="O17" i="60"/>
  <c r="E17" i="60" s="1"/>
  <c r="V16" i="60"/>
  <c r="U16" i="60"/>
  <c r="O16" i="60"/>
  <c r="E16" i="60" s="1"/>
  <c r="V15" i="60"/>
  <c r="U15" i="60"/>
  <c r="O15" i="60"/>
  <c r="E15" i="60" s="1"/>
  <c r="V14" i="60"/>
  <c r="U14" i="60"/>
  <c r="O14" i="60"/>
  <c r="E14" i="60" s="1"/>
  <c r="H8" i="60"/>
  <c r="E8" i="60"/>
  <c r="E7" i="60"/>
  <c r="C16" i="12"/>
  <c r="C13" i="12"/>
  <c r="I15" i="60" l="1"/>
  <c r="I14" i="60"/>
  <c r="I18" i="60"/>
  <c r="AB15" i="66"/>
  <c r="AB26" i="66" s="1"/>
  <c r="AA15" i="66"/>
  <c r="AA26" i="66" s="1"/>
  <c r="M139" i="1" s="1"/>
  <c r="Z26" i="66"/>
  <c r="M134" i="1" s="1"/>
  <c r="AB14" i="3"/>
  <c r="AB26" i="3" s="1"/>
  <c r="Z26" i="3"/>
  <c r="M132" i="1" s="1"/>
  <c r="AA14" i="3"/>
  <c r="AA26" i="3" s="1"/>
  <c r="M137" i="1" s="1"/>
  <c r="I16" i="60"/>
  <c r="I17" i="60"/>
  <c r="K17" i="60" s="1"/>
  <c r="Q19" i="60"/>
  <c r="E19" i="60"/>
  <c r="Q21" i="60"/>
  <c r="E21" i="60"/>
  <c r="Q23" i="60"/>
  <c r="E23" i="60"/>
  <c r="Q25" i="60"/>
  <c r="E25" i="60"/>
  <c r="Q22" i="60"/>
  <c r="U26" i="60"/>
  <c r="Q20" i="60"/>
  <c r="Q24" i="60"/>
  <c r="R24" i="60" s="1"/>
  <c r="S24" i="60" s="1"/>
  <c r="Q15" i="60"/>
  <c r="R15" i="60" s="1"/>
  <c r="S15" i="60" s="1"/>
  <c r="Q18" i="60"/>
  <c r="R18" i="60" s="1"/>
  <c r="S18" i="60" s="1"/>
  <c r="Q17" i="60"/>
  <c r="R17" i="60" s="1"/>
  <c r="S17" i="60" s="1"/>
  <c r="Q16" i="60"/>
  <c r="R16" i="60" s="1"/>
  <c r="S16" i="60" s="1"/>
  <c r="X14" i="60"/>
  <c r="Q14" i="60"/>
  <c r="R19" i="60"/>
  <c r="S19" i="60" s="1"/>
  <c r="R23" i="60"/>
  <c r="S23" i="60" s="1"/>
  <c r="R21" i="60"/>
  <c r="S21" i="60" s="1"/>
  <c r="R25" i="60"/>
  <c r="S25" i="60" s="1"/>
  <c r="V26" i="60"/>
  <c r="R22" i="60"/>
  <c r="S22" i="60" s="1"/>
  <c r="R20" i="60"/>
  <c r="S20" i="60" s="1"/>
  <c r="M126" i="1"/>
  <c r="D119" i="1"/>
  <c r="M118" i="1"/>
  <c r="M69" i="1"/>
  <c r="M119" i="1"/>
  <c r="M117" i="1"/>
  <c r="D118" i="1"/>
  <c r="O26" i="60"/>
  <c r="M26" i="60"/>
  <c r="D112" i="1" s="1"/>
  <c r="M78" i="1"/>
  <c r="M83" i="1"/>
  <c r="M73" i="1"/>
  <c r="M68" i="1"/>
  <c r="E26" i="60" l="1"/>
  <c r="X16" i="60"/>
  <c r="X15" i="60"/>
  <c r="K25" i="60"/>
  <c r="K24" i="60"/>
  <c r="K22" i="60"/>
  <c r="K21" i="60"/>
  <c r="K19" i="60"/>
  <c r="K16" i="60"/>
  <c r="Y16" i="60"/>
  <c r="Z16" i="60" s="1"/>
  <c r="K18" i="60"/>
  <c r="M40" i="1"/>
  <c r="D117" i="1"/>
  <c r="M120" i="1" s="1"/>
  <c r="AC26" i="60"/>
  <c r="M46" i="1" s="1"/>
  <c r="M36" i="1"/>
  <c r="M48" i="1" s="1"/>
  <c r="Q26" i="60"/>
  <c r="R14" i="60"/>
  <c r="S14" i="60" s="1"/>
  <c r="M50" i="1" l="1"/>
  <c r="M52" i="1" s="1"/>
  <c r="M54" i="1" s="1"/>
  <c r="M60" i="1" s="1"/>
  <c r="Y15" i="60"/>
  <c r="Z15" i="60" s="1"/>
  <c r="AA15" i="60" s="1"/>
  <c r="AA16" i="60"/>
  <c r="AB16" i="60"/>
  <c r="Y14" i="60"/>
  <c r="M115" i="1"/>
  <c r="M111" i="1"/>
  <c r="R26" i="60"/>
  <c r="S26" i="60"/>
  <c r="D107" i="1" s="1"/>
  <c r="M116" i="1"/>
  <c r="AB15" i="60" l="1"/>
  <c r="Z14" i="60"/>
  <c r="D102" i="1"/>
  <c r="M105" i="1" s="1"/>
  <c r="M91" i="1"/>
  <c r="M110" i="1"/>
  <c r="M56" i="1" s="1"/>
  <c r="AB14" i="60" l="1"/>
  <c r="AA14" i="60"/>
  <c r="M131" i="1"/>
  <c r="K15" i="60" l="1"/>
  <c r="K26" i="60" s="1"/>
  <c r="D97" i="1" l="1"/>
  <c r="M100" i="1" s="1"/>
  <c r="I26" i="60"/>
  <c r="X25" i="60"/>
  <c r="Y25" i="60" s="1"/>
  <c r="Z25" i="60" s="1"/>
  <c r="X22" i="60"/>
  <c r="Y22" i="60" s="1"/>
  <c r="Z22" i="60" s="1"/>
  <c r="X20" i="60"/>
  <c r="Y20" i="60" s="1"/>
  <c r="Z20" i="60" s="1"/>
  <c r="X21" i="60"/>
  <c r="Y21" i="60" s="1"/>
  <c r="Z21" i="60" s="1"/>
  <c r="X18" i="60"/>
  <c r="Y18" i="60" s="1"/>
  <c r="Z18" i="60" s="1"/>
  <c r="X23" i="60"/>
  <c r="Y23" i="60" s="1"/>
  <c r="Z23" i="60" s="1"/>
  <c r="X19" i="60"/>
  <c r="Y19" i="60" s="1"/>
  <c r="Z19" i="60" s="1"/>
  <c r="X24" i="60"/>
  <c r="Y24" i="60" s="1"/>
  <c r="Z24" i="60" s="1"/>
  <c r="X17" i="60"/>
  <c r="X26" i="60" l="1"/>
  <c r="Y17" i="60"/>
  <c r="Y26" i="60" s="1"/>
  <c r="J26" i="60"/>
  <c r="AA24" i="60"/>
  <c r="AB24" i="60"/>
  <c r="AA19" i="60"/>
  <c r="AB19" i="60"/>
  <c r="AA23" i="60"/>
  <c r="AB23" i="60"/>
  <c r="AA18" i="60"/>
  <c r="AB18" i="60"/>
  <c r="AA21" i="60"/>
  <c r="AB21" i="60"/>
  <c r="AA20" i="60"/>
  <c r="AB20" i="60"/>
  <c r="AA22" i="60"/>
  <c r="AB22" i="60"/>
  <c r="AA25" i="60"/>
  <c r="AB25" i="60"/>
  <c r="Z17" i="60"/>
  <c r="D92" i="1" l="1"/>
  <c r="M95" i="1" s="1"/>
  <c r="AA17" i="60"/>
  <c r="AA26" i="60" s="1"/>
  <c r="Z26" i="60"/>
  <c r="AB17" i="60"/>
  <c r="D132" i="1" l="1"/>
  <c r="M135" i="1" s="1"/>
  <c r="AB26" i="60"/>
  <c r="D137" i="1" s="1"/>
  <c r="M140" i="1" s="1"/>
  <c r="F26" i="60"/>
</calcChain>
</file>

<file path=xl/sharedStrings.xml><?xml version="1.0" encoding="utf-8"?>
<sst xmlns="http://schemas.openxmlformats.org/spreadsheetml/2006/main" count="717" uniqueCount="221">
  <si>
    <t>Раздел. Общая информация о налогоплательщике</t>
  </si>
  <si>
    <t>первоначальная</t>
  </si>
  <si>
    <t>очередная</t>
  </si>
  <si>
    <t>дополнительная по уведомлению</t>
  </si>
  <si>
    <t>А</t>
  </si>
  <si>
    <t>Сумма</t>
  </si>
  <si>
    <t>Код строки</t>
  </si>
  <si>
    <t>В</t>
  </si>
  <si>
    <t>С</t>
  </si>
  <si>
    <t>D</t>
  </si>
  <si>
    <t>Примечание.</t>
  </si>
  <si>
    <t>Х</t>
  </si>
  <si>
    <t>год</t>
  </si>
  <si>
    <t>Итого</t>
  </si>
  <si>
    <t>Форма 910.00</t>
  </si>
  <si>
    <t>ИИН (БИН)</t>
  </si>
  <si>
    <t>Ф.И.О. или наименование налогоплательщика</t>
  </si>
  <si>
    <t>Налоговый период, за который представляется налоговая отчетность:</t>
  </si>
  <si>
    <t>полугодие</t>
  </si>
  <si>
    <t>Категория налогоплательщика</t>
  </si>
  <si>
    <t xml:space="preserve">(укажите </t>
  </si>
  <si>
    <t>в соответствующей ячейке)</t>
  </si>
  <si>
    <t>ликвидационная</t>
  </si>
  <si>
    <t>Номер и дата уведомления (заполняется в случае представления дополнительной декларации по уведомлению)</t>
  </si>
  <si>
    <t>номер</t>
  </si>
  <si>
    <t>Дата</t>
  </si>
  <si>
    <t>Код валюты</t>
  </si>
  <si>
    <t>Признак резидентства:</t>
  </si>
  <si>
    <t xml:space="preserve"> нерезидент РК</t>
  </si>
  <si>
    <t>резидент РК</t>
  </si>
  <si>
    <t>Раздел. Исчисление налогов</t>
  </si>
  <si>
    <t>910.00.001</t>
  </si>
  <si>
    <t>910.00.002</t>
  </si>
  <si>
    <t>910.00.003</t>
  </si>
  <si>
    <t>910.00.004</t>
  </si>
  <si>
    <t>910.00.005</t>
  </si>
  <si>
    <t>910.00.006</t>
  </si>
  <si>
    <t>910.00.007</t>
  </si>
  <si>
    <t>910.00.008</t>
  </si>
  <si>
    <t>910.00.009</t>
  </si>
  <si>
    <t>в том числе доход от корректировки в соответствии с Законом о трансферном ценообразовании</t>
  </si>
  <si>
    <t>Сумма исчисленных налогов (910.00.001*3%)</t>
  </si>
  <si>
    <t>Сумма налогов после корректировки (910.00.005-910.00.006)</t>
  </si>
  <si>
    <t>Сумма индивидуального (корпоративного) подоходного налога, подлежащего уплате в бюджет (910.00.007*0,5)</t>
  </si>
  <si>
    <t>Раздел. Исчисление социальных отчислений и обязательных пенсионных взносов за индивидуального предпринимателя</t>
  </si>
  <si>
    <t>910.00.010</t>
  </si>
  <si>
    <t>910.00.011</t>
  </si>
  <si>
    <t>910.00.012</t>
  </si>
  <si>
    <t>910.00.013</t>
  </si>
  <si>
    <t>910.00.014</t>
  </si>
  <si>
    <t>910.00.015</t>
  </si>
  <si>
    <t>910.00.016</t>
  </si>
  <si>
    <t>910.00.017</t>
  </si>
  <si>
    <t>910.00.018</t>
  </si>
  <si>
    <t>910.00.019</t>
  </si>
  <si>
    <t>910.00.020</t>
  </si>
  <si>
    <t>910.00.021</t>
  </si>
  <si>
    <t>Раздел. Ответственность налогоплательщика (налогового агента)</t>
  </si>
  <si>
    <t>период</t>
  </si>
  <si>
    <t xml:space="preserve">реализация товаров </t>
  </si>
  <si>
    <t>выполнение работ, оказание услуг</t>
  </si>
  <si>
    <t>прочий доход</t>
  </si>
  <si>
    <t>(Ф.И.О., подпись руководителя (налогоплательщика),  печать)</t>
  </si>
  <si>
    <t>(Ф.И.О., подпись главного бухгалтера )</t>
  </si>
  <si>
    <t xml:space="preserve">(Дата составления налогового регистра) </t>
  </si>
  <si>
    <t>Реализация товаров, выполнение работ, оказание услуг</t>
  </si>
  <si>
    <t>Налоговый период, за который предоставляется налоговая отчетность: полугодие</t>
  </si>
  <si>
    <t xml:space="preserve">Наименование налогоплательщика </t>
  </si>
  <si>
    <t>РНН</t>
  </si>
  <si>
    <t>№ п/п</t>
  </si>
  <si>
    <t>Ф.И.О. работника</t>
  </si>
  <si>
    <t>начисленный доход</t>
  </si>
  <si>
    <t>примененный вычет</t>
  </si>
  <si>
    <t>Итого:</t>
  </si>
  <si>
    <t>(Ф.И.О., подпись лица, ответственного за составление налогового регистра)</t>
  </si>
  <si>
    <t>строка 14 переносится в № 910.00 по строке 910.00.003</t>
  </si>
  <si>
    <t>Доходы, не облагаемые ИПН</t>
  </si>
  <si>
    <t>Доходы, облагаемые ИПН</t>
  </si>
  <si>
    <t>Доходы, не облагаемые ОПВ</t>
  </si>
  <si>
    <t>Доход для исчисления обязательных пенсионных взносов</t>
  </si>
  <si>
    <t>Обязательные пенсионные взносы</t>
  </si>
  <si>
    <t>Доходы не облагаемые СО</t>
  </si>
  <si>
    <t>Предварительный расчет объекта для исчисления СО</t>
  </si>
  <si>
    <t>Доход для исчисления социальных очтислений</t>
  </si>
  <si>
    <t>Обязательные социальные отчисления</t>
  </si>
  <si>
    <t>Справочник</t>
  </si>
  <si>
    <t>МЗП =</t>
  </si>
  <si>
    <t>тенге</t>
  </si>
  <si>
    <t>Доход для ОПВ max =</t>
  </si>
  <si>
    <t>ОПВ max =</t>
  </si>
  <si>
    <t>Доход для СО max =</t>
  </si>
  <si>
    <t>СО max =</t>
  </si>
  <si>
    <t xml:space="preserve">Месячный расчетный показатель = </t>
  </si>
  <si>
    <t xml:space="preserve">Налоговый период:   месяц       Год  </t>
  </si>
  <si>
    <t>Доход для исчисления обязательных профессиональных пенсионных взносов</t>
  </si>
  <si>
    <t>Обязательные профессиональные пенсионные взносы</t>
  </si>
  <si>
    <t>Численность работников</t>
  </si>
  <si>
    <t>Сумма индивидуального подоходного налога, подлежащая перечислению в бюджет с доходов иностранцев и лиц без гражданства</t>
  </si>
  <si>
    <t>1 месяц полугодия</t>
  </si>
  <si>
    <t>2 месяц полугодия</t>
  </si>
  <si>
    <t>3 месяц полугодия</t>
  </si>
  <si>
    <t>4 месяц полугодия</t>
  </si>
  <si>
    <t>5 месяц полугодия</t>
  </si>
  <si>
    <t>6 месяц полугодия</t>
  </si>
  <si>
    <t>Пенсионер (если да, то нужно поставить 1)</t>
  </si>
  <si>
    <t xml:space="preserve">Среднемесячная численность работников </t>
  </si>
  <si>
    <t>1 мес</t>
  </si>
  <si>
    <t>2 мес</t>
  </si>
  <si>
    <t>3 мес</t>
  </si>
  <si>
    <t>I</t>
  </si>
  <si>
    <t>II</t>
  </si>
  <si>
    <t>III</t>
  </si>
  <si>
    <t>4 мес</t>
  </si>
  <si>
    <t>5 мес</t>
  </si>
  <si>
    <t>6 мес</t>
  </si>
  <si>
    <t>IV</t>
  </si>
  <si>
    <t>V</t>
  </si>
  <si>
    <t>VI</t>
  </si>
  <si>
    <t>ИТОГО за полугодие</t>
  </si>
  <si>
    <t>Доходы физических лиц, с которых исчисляются социальные отчисления</t>
  </si>
  <si>
    <t>910.00.022</t>
  </si>
  <si>
    <t>Доходы не принимаемые для исчисления ОСМС</t>
  </si>
  <si>
    <t>Доходы  принимаемые для исчисления ОСМС</t>
  </si>
  <si>
    <t>910.00.023</t>
  </si>
  <si>
    <t>Сумма отчислений на обязательное социальное медицинское страхование, к уплате</t>
  </si>
  <si>
    <t>пенсионеры</t>
  </si>
  <si>
    <t>инвалиды</t>
  </si>
  <si>
    <t>указывается среднесписочная численность работников-пенсионеров</t>
  </si>
  <si>
    <t>указывается среднесписочная численность работников-инвалидов</t>
  </si>
  <si>
    <t>Среднемесячная заработная плата на одного работника</t>
  </si>
  <si>
    <t>ставка для ООСМС=</t>
  </si>
  <si>
    <t>ООСМС max =</t>
  </si>
  <si>
    <t>Ограничения по доходам ТОО согласно п. 2 ст.433 НК</t>
  </si>
  <si>
    <t>Признак резиденства:                  гражданин РК - 1; иностранный гражданин резидент - 2; иностранный гражданин нерезидент - 3</t>
  </si>
  <si>
    <t>Индивидуальный подоходный налог с доходов граждан РК</t>
  </si>
  <si>
    <t>Индивидуальный подоходный налог с доходов иностранцев и лиц без гражданства</t>
  </si>
  <si>
    <t xml:space="preserve">Налоговый период:   полугодие      </t>
  </si>
  <si>
    <t xml:space="preserve"> Год  </t>
  </si>
  <si>
    <t>Ф.И.О. физического лица</t>
  </si>
  <si>
    <t>Номер месяца в полугодии выплаты дохода</t>
  </si>
  <si>
    <t>Номер месяца выплаты дохода</t>
  </si>
  <si>
    <t>Сумма индивидуального подоходного налога, подлежащая перечислению в бюджет с доходов граждан Республики Казахстан</t>
  </si>
  <si>
    <t>Доходы работников, принимаемых для исчисления обязательных профессиональных пенсионных взносов</t>
  </si>
  <si>
    <t>Сумма обязательных профессиональных взносов, к уплате</t>
  </si>
  <si>
    <t>910.00.024</t>
  </si>
  <si>
    <t>Доход, для исчисления социальных отчислений</t>
  </si>
  <si>
    <t>ставка для СО=</t>
  </si>
  <si>
    <t>доверительный управляющий в соответствии со статьей 40 Налогового кодекса</t>
  </si>
  <si>
    <t>ведет бухгалтерский учет в соответствии с пунктом 2 статьи 2 Закона Республики Казахстан "О бухгалтерском учете и финансовой отчетности"</t>
  </si>
  <si>
    <t>не ведет бухгалтерский учет в соответствии с пунктом 2 статьи 2 Закона Республики Казахстан "О бухгалтерском учете и финансовой отчетности"</t>
  </si>
  <si>
    <t>учредитель доверительного управления в соответствии со статьей 40 Налогового кодекса</t>
  </si>
  <si>
    <t>дополнительная</t>
  </si>
  <si>
    <t>Вид декларации</t>
  </si>
  <si>
    <t xml:space="preserve"> (укажите </t>
  </si>
  <si>
    <t>Наименование показателей</t>
  </si>
  <si>
    <t xml:space="preserve">Корректировка суммы налогов в соответствии с пунктом 2 статьи 687 Налогового кодекса </t>
  </si>
  <si>
    <t>Сумма социального налога, подлежащего уплате в бюджет ((910.00.007*0,5)-910.00.011 VII-910.00.018 VII)</t>
  </si>
  <si>
    <t>VII</t>
  </si>
  <si>
    <t xml:space="preserve">Сумма социальных отчислений, к уплате </t>
  </si>
  <si>
    <t xml:space="preserve">Доход, для исчисления обязательных пенсионных взносов </t>
  </si>
  <si>
    <t xml:space="preserve">Сумма обязательных пенсионных взносов, к уплате </t>
  </si>
  <si>
    <t xml:space="preserve">Сумма взносов на обязательное социальное медицинское страхование, к уплате </t>
  </si>
  <si>
    <t>Раздел. Исчисление индивидуального подоходного налога, социальных платежей физических лиц</t>
  </si>
  <si>
    <t xml:space="preserve">Доходы работников, с которых удерживаются (начисляются) обязательные пенсионные взносы </t>
  </si>
  <si>
    <t>910.00.025</t>
  </si>
  <si>
    <t>Раздел. Бизнес -идентификационный аппарата акимов городов районного значения, сел, поселков, сельских округов</t>
  </si>
  <si>
    <t>Бизнес -идентификационный аппарата акимов городов районного значения, сел, поселков, сельских округов по месту нахождения индивидуального предпринимателя</t>
  </si>
  <si>
    <t xml:space="preserve">Доход </t>
  </si>
  <si>
    <t>KZT</t>
  </si>
  <si>
    <t>X</t>
  </si>
  <si>
    <t>Ставка обложения ( резиденту - 10%; нерезиденту -20% )</t>
  </si>
  <si>
    <t>Налоговый регистр: "Начисленные доходы работникам для целей налогообложения в третьем месяце полугодия"</t>
  </si>
  <si>
    <t>Налоговый регистр: "Начисленные доходы работникам для целей налогообложения в первом месяце полугодия"</t>
  </si>
  <si>
    <t>Налоговый регистр: "Начисленные доходы работникам для целей налогообложения во втором месяце полугодия"</t>
  </si>
  <si>
    <t>Налоговый регистр: "Начисленные доходы работникам для целей налогообложения в четвертом месяце полугодия"</t>
  </si>
  <si>
    <t>Налоговый регистр: "Начисленные доходы работникам для целей налогообложения в пятом месяце полугодия"</t>
  </si>
  <si>
    <t>Налоговый регистр: "Начисленные доходы работникам для целей налогообложения в шестом месяце полугодия"</t>
  </si>
  <si>
    <t>Налоговый регистр: "Начисленные доходы физических лиц для целей налогообложения по договорам гражданско-правового характера"</t>
  </si>
  <si>
    <t>начисленный доход по договору ГПХ</t>
  </si>
  <si>
    <t>х</t>
  </si>
  <si>
    <t>Среднемесячная заработная плата на одного работника (Х26 2.1+2.2+2.3+2.4+2.5+2.6)/6</t>
  </si>
  <si>
    <t>Уважаемые пользователи ИС §«Бухгалтер»!</t>
  </si>
  <si>
    <t xml:space="preserve">Индивидуальный подоходный налог с доходов иностранцев и лиц без гражданства </t>
  </si>
  <si>
    <t>Доходы, облагаемые ОПВ</t>
  </si>
  <si>
    <t xml:space="preserve">Ставка ОПВ (10%) </t>
  </si>
  <si>
    <t>Начисленный доход по договору ГПХ</t>
  </si>
  <si>
    <t>ОПВ с доходов физических лиц, не являющихся налоговыми агентами</t>
  </si>
  <si>
    <t>Предварительный расчет объекта для исчисления ОСМС</t>
  </si>
  <si>
    <t>Корректировка дохода 90%</t>
  </si>
  <si>
    <t>Доход для взносов ОСМС max =</t>
  </si>
  <si>
    <t>Доход для ОСМС отчислений max =</t>
  </si>
  <si>
    <t>ставка для ВОСМС=</t>
  </si>
  <si>
    <t>Уменьшение индивидуальным предпринимателем суммы ИПН, подлежащего уплате в бюджет в соответствии с пунктом 2-1 статьи 687 Налогового кодекса (на сумму 60 000 тенге, но не более чем на 50 процентов от исчисленной суммы ИПН) за текущий календарный год</t>
  </si>
  <si>
    <t>Сумма ИПН (КПН), подлежащего уплате в бюджет за налоговый период, 910.00.008-910.00.010</t>
  </si>
  <si>
    <t>910.00.026</t>
  </si>
  <si>
    <t>Раздел. Сведения о запасах</t>
  </si>
  <si>
    <t>910.00.028</t>
  </si>
  <si>
    <t>910.00.027</t>
  </si>
  <si>
    <t>A</t>
  </si>
  <si>
    <t>B</t>
  </si>
  <si>
    <t>C</t>
  </si>
  <si>
    <t>приобретено запасов, работ, услуг всего</t>
  </si>
  <si>
    <t>запасы на конец налоговогго периода всего</t>
  </si>
  <si>
    <t>запасы на начало налоговогго периода всего</t>
  </si>
  <si>
    <t>Запасы: Данная строка заполняется в случае применения трехкомпонентной интегрированной системы.</t>
  </si>
  <si>
    <t>Доход для исчисления социальных отчислений</t>
  </si>
  <si>
    <t>Сумма взносов на обязательное социальное медицинское страхование, к уплате</t>
  </si>
  <si>
    <t>Доходы принимаемые для исчисления взносов и отчислений на обязательное социальное медицинское страхование</t>
  </si>
  <si>
    <t xml:space="preserve">Сумма взносов и отчислений на обязательное социальное медицинское страхование, к уплате </t>
  </si>
  <si>
    <t>прочие вычеты</t>
  </si>
  <si>
    <t>вычет взносов ОСМС</t>
  </si>
  <si>
    <t>примененный вычет 1 МЗП</t>
  </si>
  <si>
    <t>Взносы ОСМС</t>
  </si>
  <si>
    <r>
      <t xml:space="preserve">Данная форма призвана оказать Вам помощь  при  заполнении упрощенной декларации для субъектов малого бизнеса ТОО </t>
    </r>
    <r>
      <rPr>
        <b/>
        <sz val="12"/>
        <color rgb="FFFF0000"/>
        <rFont val="Times New Roman"/>
        <family val="1"/>
        <charset val="204"/>
      </rPr>
      <t xml:space="preserve">по  форме 910.00 за 1-е  полугодие 2020 года. В форме № 910 Декларации ничего заполнять вручную нельзя, все данные заполняются автомотически из приложений №1, №2.1, №2.2, №2.3, №2.4, №2.5, №2.6, №3. В приложениях нужно заполнять только те строки, которые выделены желтым цветом, все остальное считается автоматически. </t>
    </r>
  </si>
  <si>
    <t>УПРОЩЕННАЯ ДЕКЛАРАЦИЯ ДЛЯ СУБЪЕКТОВ МАЛОГО БИЗНЕСА (910.00) за 2020 год для ТОО</t>
  </si>
  <si>
    <t>Налоговый регистр: "Начисленные доходы физических лиц (дивиденды) для целей налогообложения"</t>
  </si>
  <si>
    <t>В случае, если учредитель обладает долей в уставном капитале более трех лет, необходимо в графе "Ставка обложения " поставить 0%</t>
  </si>
  <si>
    <t>начисленный доход (дивиденды, вознаграждения, выигрыши)</t>
  </si>
  <si>
    <t>Ставка обложения (дивиденды резиденту - 5%; нерезиденту -15% )</t>
  </si>
  <si>
    <t>раздел заполняется ИП</t>
  </si>
  <si>
    <t>Товарищество с ограниченной ответственностью "Арман"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</si>
</sst>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</numFmts>
  <fonts count="31" x14ac:knownFonts="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C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</cellStyleXfs>
  <cellXfs count="321">
    <xf numFmtId="0" fontId="0" fillId="0" borderId="0" xfId="0"/>
    <xf numFmtId="0" fontId="2" fillId="0" borderId="0" xfId="0" applyFont="1" applyAlignment="1"/>
    <xf numFmtId="0" fontId="4" fillId="0" borderId="0" xfId="1" applyAlignment="1" applyProtection="1"/>
    <xf numFmtId="0" fontId="3" fillId="0" borderId="0" xfId="0" applyFont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Fill="1" applyBorder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Fill="1" applyBorder="1"/>
    <xf numFmtId="0" fontId="10" fillId="0" borderId="0" xfId="0" applyFont="1"/>
    <xf numFmtId="0" fontId="13" fillId="0" borderId="0" xfId="0" applyFont="1"/>
    <xf numFmtId="0" fontId="6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/>
    <xf numFmtId="0" fontId="13" fillId="0" borderId="12" xfId="0" applyFont="1" applyBorder="1"/>
    <xf numFmtId="0" fontId="0" fillId="0" borderId="12" xfId="0" applyBorder="1"/>
    <xf numFmtId="0" fontId="17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0" fontId="0" fillId="0" borderId="0" xfId="0" applyBorder="1"/>
    <xf numFmtId="0" fontId="17" fillId="0" borderId="14" xfId="0" applyFont="1" applyBorder="1"/>
    <xf numFmtId="0" fontId="13" fillId="0" borderId="14" xfId="0" applyFont="1" applyBorder="1"/>
    <xf numFmtId="0" fontId="0" fillId="0" borderId="14" xfId="0" applyBorder="1"/>
    <xf numFmtId="0" fontId="6" fillId="0" borderId="13" xfId="0" applyFont="1" applyBorder="1" applyAlignment="1">
      <alignment horizontal="center"/>
    </xf>
    <xf numFmtId="0" fontId="5" fillId="0" borderId="15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6" xfId="0" applyFont="1" applyBorder="1"/>
    <xf numFmtId="0" fontId="16" fillId="0" borderId="7" xfId="0" applyFont="1" applyBorder="1" applyAlignment="1">
      <alignment horizontal="center" vertical="center" wrapText="1"/>
    </xf>
    <xf numFmtId="0" fontId="0" fillId="0" borderId="18" xfId="0" applyBorder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/>
    <xf numFmtId="0" fontId="16" fillId="0" borderId="0" xfId="0" applyFont="1" applyFill="1" applyAlignment="1"/>
    <xf numFmtId="3" fontId="16" fillId="0" borderId="0" xfId="0" applyNumberFormat="1" applyFont="1" applyFill="1"/>
    <xf numFmtId="0" fontId="16" fillId="0" borderId="0" xfId="0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5" xfId="0" applyFont="1" applyFill="1" applyBorder="1" applyAlignment="1">
      <alignment wrapText="1"/>
    </xf>
    <xf numFmtId="3" fontId="22" fillId="0" borderId="0" xfId="0" applyNumberFormat="1" applyFont="1" applyFill="1" applyAlignment="1"/>
    <xf numFmtId="3" fontId="22" fillId="0" borderId="0" xfId="0" applyNumberFormat="1" applyFont="1" applyFill="1"/>
    <xf numFmtId="3" fontId="22" fillId="0" borderId="0" xfId="0" applyNumberFormat="1" applyFont="1" applyFill="1" applyAlignment="1">
      <alignment vertical="center"/>
    </xf>
    <xf numFmtId="1" fontId="11" fillId="0" borderId="12" xfId="0" applyNumberFormat="1" applyFont="1" applyBorder="1"/>
    <xf numFmtId="3" fontId="7" fillId="0" borderId="16" xfId="0" applyNumberFormat="1" applyFont="1" applyBorder="1"/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Border="1"/>
    <xf numFmtId="0" fontId="1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5" fillId="4" borderId="6" xfId="0" applyFont="1" applyFill="1" applyBorder="1"/>
    <xf numFmtId="0" fontId="20" fillId="5" borderId="6" xfId="0" applyFont="1" applyFill="1" applyBorder="1" applyAlignment="1">
      <alignment vertical="center" wrapText="1"/>
    </xf>
    <xf numFmtId="0" fontId="0" fillId="4" borderId="7" xfId="0" applyFill="1" applyBorder="1"/>
    <xf numFmtId="0" fontId="5" fillId="4" borderId="7" xfId="0" applyFont="1" applyFill="1" applyBorder="1"/>
    <xf numFmtId="9" fontId="5" fillId="0" borderId="7" xfId="0" applyNumberFormat="1" applyFont="1" applyBorder="1"/>
    <xf numFmtId="0" fontId="24" fillId="0" borderId="7" xfId="0" applyFont="1" applyBorder="1"/>
    <xf numFmtId="0" fontId="6" fillId="0" borderId="0" xfId="0" applyFont="1"/>
    <xf numFmtId="0" fontId="6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0" fillId="0" borderId="7" xfId="0" applyNumberFormat="1" applyFill="1" applyBorder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22" fillId="0" borderId="0" xfId="0" applyNumberFormat="1" applyFont="1" applyFill="1" applyAlignment="1"/>
    <xf numFmtId="164" fontId="22" fillId="0" borderId="0" xfId="0" applyNumberFormat="1" applyFont="1" applyFill="1"/>
    <xf numFmtId="0" fontId="2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7" xfId="0" applyFont="1" applyFill="1" applyBorder="1"/>
    <xf numFmtId="0" fontId="25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4" borderId="6" xfId="0" applyNumberFormat="1" applyFont="1" applyFill="1" applyBorder="1" applyAlignment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3" fontId="0" fillId="4" borderId="7" xfId="0" applyNumberFormat="1" applyFill="1" applyBorder="1"/>
    <xf numFmtId="0" fontId="1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4" fillId="0" borderId="7" xfId="0" applyFont="1" applyFill="1" applyBorder="1"/>
    <xf numFmtId="0" fontId="2" fillId="0" borderId="0" xfId="0" applyFont="1" applyAlignment="1">
      <alignment vertical="top"/>
    </xf>
    <xf numFmtId="0" fontId="5" fillId="0" borderId="7" xfId="0" applyFont="1" applyBorder="1" applyAlignment="1">
      <alignment horizontal="center"/>
    </xf>
    <xf numFmtId="165" fontId="29" fillId="0" borderId="7" xfId="2" applyNumberFormat="1" applyFont="1" applyFill="1" applyBorder="1" applyAlignment="1">
      <alignment horizontal="left" vertical="center" wrapText="1" indent="2"/>
    </xf>
    <xf numFmtId="1" fontId="5" fillId="0" borderId="7" xfId="0" applyNumberFormat="1" applyFont="1" applyBorder="1"/>
    <xf numFmtId="1" fontId="27" fillId="0" borderId="7" xfId="0" applyNumberFormat="1" applyFont="1" applyFill="1" applyBorder="1" applyAlignment="1">
      <alignment horizontal="right" vertical="center"/>
    </xf>
    <xf numFmtId="1" fontId="0" fillId="0" borderId="7" xfId="0" applyNumberFormat="1" applyBorder="1"/>
    <xf numFmtId="165" fontId="5" fillId="0" borderId="7" xfId="2" applyNumberFormat="1" applyFont="1" applyBorder="1"/>
    <xf numFmtId="165" fontId="0" fillId="0" borderId="7" xfId="2" applyNumberFormat="1" applyFont="1" applyBorder="1"/>
    <xf numFmtId="165" fontId="5" fillId="0" borderId="0" xfId="2" applyNumberFormat="1" applyFont="1"/>
    <xf numFmtId="0" fontId="14" fillId="0" borderId="18" xfId="0" applyFont="1" applyBorder="1" applyAlignment="1">
      <alignment horizontal="center"/>
    </xf>
    <xf numFmtId="0" fontId="6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50" xfId="0" applyFont="1" applyFill="1" applyBorder="1" applyAlignment="1">
      <alignment horizontal="center" wrapText="1"/>
    </xf>
    <xf numFmtId="0" fontId="21" fillId="0" borderId="32" xfId="0" applyFont="1" applyFill="1" applyBorder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vertical="top" wrapText="1"/>
    </xf>
    <xf numFmtId="3" fontId="7" fillId="0" borderId="0" xfId="0" applyNumberFormat="1" applyFont="1" applyBorder="1"/>
    <xf numFmtId="165" fontId="0" fillId="4" borderId="7" xfId="2" applyNumberFormat="1" applyFont="1" applyFill="1" applyBorder="1"/>
    <xf numFmtId="165" fontId="0" fillId="0" borderId="7" xfId="2" applyNumberFormat="1" applyFont="1" applyFill="1" applyBorder="1"/>
    <xf numFmtId="165" fontId="27" fillId="0" borderId="7" xfId="2" applyNumberFormat="1" applyFont="1" applyFill="1" applyBorder="1" applyAlignment="1">
      <alignment horizontal="right" vertical="center"/>
    </xf>
    <xf numFmtId="165" fontId="5" fillId="4" borderId="7" xfId="2" applyNumberFormat="1" applyFont="1" applyFill="1" applyBorder="1"/>
    <xf numFmtId="0" fontId="0" fillId="0" borderId="7" xfId="0" applyFill="1" applyBorder="1"/>
    <xf numFmtId="0" fontId="14" fillId="0" borderId="0" xfId="0" applyFont="1" applyFill="1" applyAlignment="1"/>
    <xf numFmtId="0" fontId="14" fillId="0" borderId="0" xfId="0" applyFont="1" applyAlignment="1">
      <alignment horizontal="center" vertical="center" wrapText="1"/>
    </xf>
    <xf numFmtId="165" fontId="14" fillId="0" borderId="7" xfId="2" applyNumberFormat="1" applyFont="1" applyBorder="1"/>
    <xf numFmtId="165" fontId="14" fillId="0" borderId="7" xfId="2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0" fillId="0" borderId="0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1" fillId="4" borderId="31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21" fillId="4" borderId="20" xfId="0" applyFont="1" applyFill="1" applyBorder="1" applyAlignment="1">
      <alignment horizontal="center" wrapText="1"/>
    </xf>
    <xf numFmtId="0" fontId="21" fillId="4" borderId="17" xfId="0" applyFont="1" applyFill="1" applyBorder="1" applyAlignment="1">
      <alignment horizontal="center" wrapText="1"/>
    </xf>
    <xf numFmtId="0" fontId="21" fillId="4" borderId="16" xfId="0" applyFont="1" applyFill="1" applyBorder="1" applyAlignment="1">
      <alignment horizontal="center" wrapText="1"/>
    </xf>
    <xf numFmtId="0" fontId="21" fillId="4" borderId="1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6" fillId="0" borderId="4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4" borderId="5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4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wrapText="1"/>
    </xf>
    <xf numFmtId="0" fontId="21" fillId="2" borderId="14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0" fontId="21" fillId="6" borderId="19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3" fontId="5" fillId="0" borderId="4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180975</xdr:rowOff>
        </xdr:from>
        <xdr:to>
          <xdr:col>3</xdr:col>
          <xdr:colOff>771525</xdr:colOff>
          <xdr:row>21</xdr:row>
          <xdr:rowOff>390525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21</xdr:row>
          <xdr:rowOff>200025</xdr:rowOff>
        </xdr:from>
        <xdr:to>
          <xdr:col>7</xdr:col>
          <xdr:colOff>438150</xdr:colOff>
          <xdr:row>22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171450</xdr:rowOff>
        </xdr:from>
        <xdr:to>
          <xdr:col>13</xdr:col>
          <xdr:colOff>352425</xdr:colOff>
          <xdr:row>21</xdr:row>
          <xdr:rowOff>381000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838200</xdr:colOff>
          <xdr:row>21</xdr:row>
          <xdr:rowOff>180975</xdr:rowOff>
        </xdr:from>
        <xdr:to>
          <xdr:col>14</xdr:col>
          <xdr:colOff>1590675</xdr:colOff>
          <xdr:row>21</xdr:row>
          <xdr:rowOff>390525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180975</xdr:rowOff>
        </xdr:from>
        <xdr:to>
          <xdr:col>9</xdr:col>
          <xdr:colOff>66675</xdr:colOff>
          <xdr:row>21</xdr:row>
          <xdr:rowOff>390525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leimanova_Y/AppData/Local/Microsoft/Windows/Temporary%20Internet%20Files/Content.Outlook/5K1UZE6W/41858650%20&#1058;&#1054;&#1054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едение"/>
      <sheetName val="№ 910 Декларация "/>
      <sheetName val="№ 1 доход ТОО "/>
      <sheetName val="№ 2.1 Начис. доходы работников"/>
      <sheetName val="№ 2.2 Начис.доходы работников"/>
      <sheetName val="№ 2.3 Начис. доходы работ"/>
      <sheetName val="№ 2.4 Начис. доходы работ"/>
      <sheetName val="№ 2.5 Начис. доходы работ. "/>
      <sheetName val="№ 2.6 Начис. доходы работ. "/>
      <sheetName val="№4 Дивиденды"/>
      <sheetName val="№ 3 Договора ГПХ"/>
      <sheetName val="№ 4 договора ГПХ"/>
    </sheetNames>
    <sheetDataSet>
      <sheetData sheetId="0">
        <row r="11">
          <cell r="C11">
            <v>42500</v>
          </cell>
        </row>
      </sheetData>
      <sheetData sheetId="1">
        <row r="8">
          <cell r="D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O23"/>
  <sheetViews>
    <sheetView topLeftCell="A5" workbookViewId="0">
      <selection activeCell="B7" sqref="B7:O7"/>
    </sheetView>
  </sheetViews>
  <sheetFormatPr defaultRowHeight="12.75" x14ac:dyDescent="0.2"/>
  <cols>
    <col min="1" max="1" width="12.7109375" customWidth="1"/>
    <col min="2" max="2" width="23.7109375" customWidth="1"/>
  </cols>
  <sheetData>
    <row r="3" spans="1:15" ht="12.75" customHeight="1" x14ac:dyDescent="0.25">
      <c r="A3" s="1"/>
      <c r="B3" s="156" t="s">
        <v>181</v>
      </c>
      <c r="C3" s="156"/>
      <c r="D3" s="156"/>
      <c r="E3" s="156"/>
      <c r="F3" s="156"/>
      <c r="G3" s="1"/>
      <c r="H3" s="1"/>
    </row>
    <row r="4" spans="1:15" x14ac:dyDescent="0.2">
      <c r="A4" s="2"/>
      <c r="B4" s="2"/>
      <c r="C4" s="2"/>
      <c r="D4" s="2"/>
      <c r="E4" s="2"/>
      <c r="F4" s="2"/>
      <c r="G4" s="2"/>
      <c r="H4" s="2"/>
    </row>
    <row r="5" spans="1:15" ht="13.5" customHeight="1" x14ac:dyDescent="0.25">
      <c r="A5" s="1"/>
      <c r="B5" s="160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ht="70.5" customHeight="1" x14ac:dyDescent="0.2">
      <c r="A6" s="126"/>
      <c r="B6" s="157" t="s">
        <v>213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" customHeight="1" x14ac:dyDescent="0.2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2.75" customHeight="1" x14ac:dyDescent="0.25">
      <c r="A8" s="3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</row>
    <row r="9" spans="1:15" ht="12.75" customHeight="1" x14ac:dyDescent="0.25">
      <c r="A9" s="3"/>
      <c r="B9" s="3"/>
      <c r="C9" s="3"/>
      <c r="D9" s="3"/>
      <c r="E9" s="3"/>
      <c r="F9" s="3"/>
      <c r="G9" s="3"/>
      <c r="H9" s="3"/>
    </row>
    <row r="10" spans="1:15" x14ac:dyDescent="0.2">
      <c r="B10" s="60" t="s">
        <v>85</v>
      </c>
      <c r="C10" s="61"/>
      <c r="D10" s="61"/>
      <c r="E10" s="61"/>
    </row>
    <row r="11" spans="1:15" x14ac:dyDescent="0.2">
      <c r="B11" s="62" t="s">
        <v>86</v>
      </c>
      <c r="C11" s="70">
        <v>42500</v>
      </c>
      <c r="D11" s="63"/>
      <c r="E11" s="64" t="s">
        <v>87</v>
      </c>
    </row>
    <row r="12" spans="1:15" x14ac:dyDescent="0.2">
      <c r="B12" s="62" t="s">
        <v>88</v>
      </c>
      <c r="C12" s="70">
        <v>2125000</v>
      </c>
      <c r="D12" s="63"/>
      <c r="E12" s="64" t="s">
        <v>87</v>
      </c>
    </row>
    <row r="13" spans="1:15" x14ac:dyDescent="0.2">
      <c r="B13" s="62" t="s">
        <v>89</v>
      </c>
      <c r="C13" s="70">
        <f>C12*0.1</f>
        <v>212500</v>
      </c>
      <c r="D13" s="63"/>
      <c r="E13" s="64" t="s">
        <v>87</v>
      </c>
    </row>
    <row r="14" spans="1:15" x14ac:dyDescent="0.2">
      <c r="B14" s="62" t="s">
        <v>90</v>
      </c>
      <c r="C14" s="70">
        <v>297500</v>
      </c>
      <c r="D14" s="63"/>
      <c r="E14" s="64" t="s">
        <v>87</v>
      </c>
    </row>
    <row r="15" spans="1:15" x14ac:dyDescent="0.2">
      <c r="B15" s="88" t="s">
        <v>146</v>
      </c>
      <c r="C15" s="106">
        <v>3.5000000000000003E-2</v>
      </c>
      <c r="D15" s="63"/>
      <c r="E15" s="64"/>
    </row>
    <row r="16" spans="1:15" x14ac:dyDescent="0.2">
      <c r="B16" s="62" t="s">
        <v>91</v>
      </c>
      <c r="C16" s="71">
        <f>C14*C15</f>
        <v>10412.500000000002</v>
      </c>
      <c r="D16" s="65"/>
      <c r="E16" s="64" t="s">
        <v>87</v>
      </c>
    </row>
    <row r="17" spans="2:5" x14ac:dyDescent="0.2">
      <c r="B17" s="88" t="s">
        <v>190</v>
      </c>
      <c r="C17" s="71">
        <v>425000</v>
      </c>
      <c r="D17" s="65"/>
      <c r="E17" s="64"/>
    </row>
    <row r="18" spans="2:5" x14ac:dyDescent="0.2">
      <c r="B18" s="88" t="s">
        <v>130</v>
      </c>
      <c r="C18" s="107">
        <v>0.02</v>
      </c>
      <c r="D18" s="65"/>
      <c r="E18" s="64"/>
    </row>
    <row r="19" spans="2:5" x14ac:dyDescent="0.2">
      <c r="B19" s="88" t="s">
        <v>131</v>
      </c>
      <c r="C19" s="71">
        <f>C17*C18</f>
        <v>8500</v>
      </c>
      <c r="D19" s="65"/>
      <c r="E19" s="64"/>
    </row>
    <row r="20" spans="2:5" ht="25.5" x14ac:dyDescent="0.2">
      <c r="B20" s="66" t="s">
        <v>92</v>
      </c>
      <c r="C20" s="72">
        <v>2651</v>
      </c>
      <c r="D20" s="67"/>
      <c r="E20" s="68" t="s">
        <v>87</v>
      </c>
    </row>
    <row r="21" spans="2:5" x14ac:dyDescent="0.2">
      <c r="B21" s="88" t="s">
        <v>189</v>
      </c>
      <c r="C21" s="71">
        <v>425000</v>
      </c>
      <c r="D21" s="65"/>
      <c r="E21" s="150" t="s">
        <v>87</v>
      </c>
    </row>
    <row r="22" spans="2:5" x14ac:dyDescent="0.2">
      <c r="B22" s="88" t="s">
        <v>191</v>
      </c>
      <c r="C22" s="107">
        <v>0.01</v>
      </c>
      <c r="D22" s="65"/>
      <c r="E22" s="64"/>
    </row>
    <row r="23" spans="2:5" x14ac:dyDescent="0.2">
      <c r="B23" s="88" t="s">
        <v>131</v>
      </c>
      <c r="C23" s="71">
        <f>C21*C22</f>
        <v>4250</v>
      </c>
      <c r="D23" s="65"/>
      <c r="E23" s="150" t="s">
        <v>87</v>
      </c>
    </row>
  </sheetData>
  <mergeCells count="5">
    <mergeCell ref="B3:F3"/>
    <mergeCell ref="B6:O6"/>
    <mergeCell ref="B7:O7"/>
    <mergeCell ref="B8:O8"/>
    <mergeCell ref="B5:O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"/>
  <sheetViews>
    <sheetView topLeftCell="A6" workbookViewId="0">
      <selection activeCell="E17" sqref="E17"/>
    </sheetView>
  </sheetViews>
  <sheetFormatPr defaultColWidth="8.7109375" defaultRowHeight="15" x14ac:dyDescent="0.25"/>
  <cols>
    <col min="1" max="1" width="5.85546875" style="17" customWidth="1"/>
    <col min="2" max="2" width="36.140625" style="17" customWidth="1"/>
    <col min="3" max="3" width="17.5703125" style="17" customWidth="1"/>
    <col min="4" max="4" width="10.28515625" style="17" customWidth="1"/>
    <col min="5" max="5" width="23.7109375" style="17" customWidth="1"/>
    <col min="6" max="6" width="13.5703125" style="17" customWidth="1"/>
    <col min="7" max="7" width="14.28515625" style="17" customWidth="1"/>
    <col min="8" max="8" width="12.85546875" style="17" customWidth="1"/>
    <col min="9" max="9" width="18.85546875" style="17" customWidth="1"/>
    <col min="10" max="10" width="17.28515625" style="17" customWidth="1"/>
    <col min="11" max="11" width="11.85546875" style="17" customWidth="1"/>
    <col min="12" max="23" width="13.5703125" style="17" customWidth="1"/>
    <col min="24" max="16384" width="8.7109375" style="17"/>
  </cols>
  <sheetData>
    <row r="2" spans="1:23" x14ac:dyDescent="0.25">
      <c r="E2" s="18" t="s">
        <v>14</v>
      </c>
      <c r="J2" s="19"/>
      <c r="K2" s="19"/>
    </row>
    <row r="3" spans="1:23" x14ac:dyDescent="0.25">
      <c r="A3" s="20"/>
      <c r="B3" s="20"/>
      <c r="C3" s="20"/>
      <c r="D3" s="20"/>
      <c r="E3" s="20"/>
    </row>
    <row r="4" spans="1:23" x14ac:dyDescent="0.25">
      <c r="A4" s="56" t="s">
        <v>67</v>
      </c>
      <c r="B4" s="43"/>
      <c r="C4" s="56"/>
      <c r="D4" s="56"/>
      <c r="E4" s="56"/>
    </row>
    <row r="5" spans="1:23" x14ac:dyDescent="0.25">
      <c r="A5" s="36"/>
      <c r="B5" s="36"/>
      <c r="C5" s="36"/>
      <c r="D5" s="36"/>
      <c r="E5" s="36"/>
    </row>
    <row r="6" spans="1:23" x14ac:dyDescent="0.25">
      <c r="A6" s="36">
        <v>1</v>
      </c>
      <c r="B6" s="56" t="s">
        <v>68</v>
      </c>
      <c r="C6" s="56"/>
      <c r="D6" s="56"/>
      <c r="E6" s="56"/>
    </row>
    <row r="7" spans="1:23" x14ac:dyDescent="0.25">
      <c r="A7" s="36">
        <v>2</v>
      </c>
      <c r="B7" s="57" t="s">
        <v>15</v>
      </c>
      <c r="C7" s="57"/>
      <c r="D7" s="57"/>
      <c r="E7" s="74">
        <f>'[1]№ 910 Декларация '!D8</f>
        <v>0</v>
      </c>
    </row>
    <row r="8" spans="1:23" x14ac:dyDescent="0.25">
      <c r="A8" s="36">
        <v>3</v>
      </c>
      <c r="B8" s="56" t="s">
        <v>136</v>
      </c>
      <c r="C8" s="56"/>
      <c r="D8" s="56"/>
      <c r="E8" s="56"/>
      <c r="F8" s="17">
        <f>'№ 910 Декларация '!L12</f>
        <v>1</v>
      </c>
      <c r="G8" s="17">
        <f>'№ 910 Декларация '!O12</f>
        <v>2020</v>
      </c>
      <c r="H8" s="17" t="s">
        <v>137</v>
      </c>
    </row>
    <row r="9" spans="1:23" x14ac:dyDescent="0.25">
      <c r="A9" s="49"/>
      <c r="B9" s="49"/>
      <c r="C9" s="49"/>
      <c r="D9" s="49"/>
      <c r="E9" s="49"/>
      <c r="F9" s="49"/>
    </row>
    <row r="10" spans="1:23" x14ac:dyDescent="0.25">
      <c r="A10" s="315" t="s">
        <v>215</v>
      </c>
      <c r="B10" s="315"/>
      <c r="C10" s="315"/>
      <c r="D10" s="315"/>
      <c r="E10" s="315"/>
      <c r="F10" s="315"/>
      <c r="G10" s="315"/>
    </row>
    <row r="11" spans="1:23" x14ac:dyDescent="0.25">
      <c r="A11" s="49"/>
      <c r="B11" s="155" t="s">
        <v>216</v>
      </c>
      <c r="C11" s="49"/>
      <c r="D11" s="49"/>
      <c r="E11" s="49"/>
    </row>
    <row r="12" spans="1:23" x14ac:dyDescent="0.25">
      <c r="A12" s="49"/>
      <c r="B12" s="49"/>
      <c r="C12" s="49"/>
      <c r="D12" s="49"/>
      <c r="E12" s="49"/>
    </row>
    <row r="13" spans="1:23" ht="114.75" x14ac:dyDescent="0.25">
      <c r="A13" s="39" t="s">
        <v>69</v>
      </c>
      <c r="B13" s="39" t="s">
        <v>138</v>
      </c>
      <c r="C13" s="39" t="s">
        <v>133</v>
      </c>
      <c r="D13" s="39" t="s">
        <v>140</v>
      </c>
      <c r="E13" s="39" t="s">
        <v>217</v>
      </c>
      <c r="F13" s="39" t="s">
        <v>76</v>
      </c>
      <c r="G13" s="39" t="s">
        <v>77</v>
      </c>
      <c r="H13" s="39" t="s">
        <v>218</v>
      </c>
      <c r="I13" s="39" t="s">
        <v>134</v>
      </c>
      <c r="J13" s="39" t="s">
        <v>135</v>
      </c>
      <c r="K13" s="39" t="s">
        <v>139</v>
      </c>
      <c r="L13" s="39" t="s">
        <v>134</v>
      </c>
      <c r="M13" s="39" t="s">
        <v>135</v>
      </c>
      <c r="N13" s="39" t="s">
        <v>134</v>
      </c>
      <c r="O13" s="39" t="s">
        <v>135</v>
      </c>
      <c r="P13" s="39" t="s">
        <v>134</v>
      </c>
      <c r="Q13" s="39" t="s">
        <v>135</v>
      </c>
      <c r="R13" s="39" t="s">
        <v>134</v>
      </c>
      <c r="S13" s="39" t="s">
        <v>135</v>
      </c>
      <c r="T13" s="39" t="s">
        <v>134</v>
      </c>
      <c r="U13" s="39" t="s">
        <v>135</v>
      </c>
      <c r="V13" s="39" t="s">
        <v>134</v>
      </c>
      <c r="W13" s="39" t="s">
        <v>135</v>
      </c>
    </row>
    <row r="14" spans="1:23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18" t="str">
        <f>IF('№ 910 Декларация '!L12=1,"январь","июль")</f>
        <v>январь</v>
      </c>
      <c r="M14" s="318"/>
      <c r="N14" s="318" t="str">
        <f>IF('№ 910 Декларация '!L12=1,"февраль","август")</f>
        <v>февраль</v>
      </c>
      <c r="O14" s="318"/>
      <c r="P14" s="318" t="str">
        <f>IF('№ 910 Декларация '!L12=1,"март","сентябрь")</f>
        <v>март</v>
      </c>
      <c r="Q14" s="318"/>
      <c r="R14" s="318" t="str">
        <f>IF('№ 910 Декларация '!L12=1,"апрель","октябрь")</f>
        <v>апрель</v>
      </c>
      <c r="S14" s="318"/>
      <c r="T14" s="318" t="str">
        <f>IF('№ 910 Декларация '!L12=1,"май","ноябрь")</f>
        <v>май</v>
      </c>
      <c r="U14" s="318"/>
      <c r="V14" s="318" t="str">
        <f>IF('№ 910 Декларация '!L12=1,"июнь","декабрь")</f>
        <v>июнь</v>
      </c>
      <c r="W14" s="318"/>
    </row>
    <row r="15" spans="1:23" x14ac:dyDescent="0.25">
      <c r="A15" s="91">
        <v>1</v>
      </c>
      <c r="B15" s="91"/>
      <c r="C15" s="91"/>
      <c r="D15" s="91"/>
      <c r="E15" s="91"/>
      <c r="F15" s="92"/>
      <c r="G15" s="21">
        <f>E15-F15</f>
        <v>0</v>
      </c>
      <c r="H15" s="93">
        <f t="shared" ref="H15:H26" si="0">IF(E15&lt;=0,0,IF(C15=3,15%,5%))</f>
        <v>0</v>
      </c>
      <c r="I15" s="21">
        <f t="shared" ref="I15:I26" si="1">IF(C15=1,G15*H15,0)</f>
        <v>0</v>
      </c>
      <c r="J15" s="21">
        <f t="shared" ref="J15:J26" si="2">IF(C15=1,0,G15*H15)</f>
        <v>0</v>
      </c>
      <c r="K15" s="21">
        <f>IF(D15&gt;6,D15-6,D15)</f>
        <v>0</v>
      </c>
      <c r="L15" s="21">
        <f>IF($K15=1,$I15,0)</f>
        <v>0</v>
      </c>
      <c r="M15" s="21">
        <f>IF($K15=1,$J15,0)</f>
        <v>0</v>
      </c>
      <c r="N15" s="21">
        <f>IF($K15=2,$I15,0)</f>
        <v>0</v>
      </c>
      <c r="O15" s="21">
        <f>IF($K15=2,$J15,0)</f>
        <v>0</v>
      </c>
      <c r="P15" s="21">
        <f>IF($K15=3,$I15,0)</f>
        <v>0</v>
      </c>
      <c r="Q15" s="21">
        <f>IF($K15=3,$J15,0)</f>
        <v>0</v>
      </c>
      <c r="R15" s="21">
        <f>IF($K15=4,$I15,0)</f>
        <v>0</v>
      </c>
      <c r="S15" s="21">
        <f>IF($K15=4,$J15,0)</f>
        <v>0</v>
      </c>
      <c r="T15" s="21">
        <f>IF($K15=5,$I15,0)</f>
        <v>0</v>
      </c>
      <c r="U15" s="21">
        <f>IF($K15=5,$J15,0)</f>
        <v>0</v>
      </c>
      <c r="V15" s="21">
        <f>IF($K15=6,$I15,0)</f>
        <v>0</v>
      </c>
      <c r="W15" s="21">
        <f>IF($K15=6,$J15,0)</f>
        <v>0</v>
      </c>
    </row>
    <row r="16" spans="1:23" x14ac:dyDescent="0.25">
      <c r="A16" s="91">
        <v>2</v>
      </c>
      <c r="B16" s="91"/>
      <c r="C16" s="91"/>
      <c r="D16" s="91"/>
      <c r="E16" s="91"/>
      <c r="F16" s="92"/>
      <c r="G16" s="21">
        <f t="shared" ref="G16:G26" si="3">E16-F16</f>
        <v>0</v>
      </c>
      <c r="H16" s="93">
        <f t="shared" si="0"/>
        <v>0</v>
      </c>
      <c r="I16" s="21">
        <f t="shared" si="1"/>
        <v>0</v>
      </c>
      <c r="J16" s="21">
        <f t="shared" si="2"/>
        <v>0</v>
      </c>
      <c r="K16" s="21">
        <f t="shared" ref="K16:K26" si="4">IF(D16&gt;6,D16-6,D16)</f>
        <v>0</v>
      </c>
      <c r="L16" s="21">
        <f t="shared" ref="L16:L26" si="5">IF($K16=1,$I16,0)</f>
        <v>0</v>
      </c>
      <c r="M16" s="21">
        <f t="shared" ref="M16:M26" si="6">IF($K16=1,$J16,0)</f>
        <v>0</v>
      </c>
      <c r="N16" s="21">
        <f t="shared" ref="N16:N26" si="7">IF($K16=2,$I16,0)</f>
        <v>0</v>
      </c>
      <c r="O16" s="21">
        <f t="shared" ref="O16:O26" si="8">IF($K16=2,$J16,0)</f>
        <v>0</v>
      </c>
      <c r="P16" s="21">
        <f t="shared" ref="P16:P26" si="9">IF($K16=3,$I16,0)</f>
        <v>0</v>
      </c>
      <c r="Q16" s="21">
        <f t="shared" ref="Q16:Q26" si="10">IF($K16=3,$J16,0)</f>
        <v>0</v>
      </c>
      <c r="R16" s="21">
        <f t="shared" ref="R16:R26" si="11">IF($K16=4,$I16,0)</f>
        <v>0</v>
      </c>
      <c r="S16" s="21">
        <f t="shared" ref="S16:S26" si="12">IF($K16=4,$J16,0)</f>
        <v>0</v>
      </c>
      <c r="T16" s="21">
        <f t="shared" ref="T16:T26" si="13">IF($K16=5,$I16,0)</f>
        <v>0</v>
      </c>
      <c r="U16" s="21">
        <f t="shared" ref="U16:U26" si="14">IF($K16=5,$J16,0)</f>
        <v>0</v>
      </c>
      <c r="V16" s="21">
        <f t="shared" ref="V16:V26" si="15">IF($K16=6,$I16,0)</f>
        <v>0</v>
      </c>
      <c r="W16" s="21">
        <f t="shared" ref="W16:W26" si="16">IF($K16=6,$J16,0)</f>
        <v>0</v>
      </c>
    </row>
    <row r="17" spans="1:23" x14ac:dyDescent="0.25">
      <c r="A17" s="91">
        <v>3</v>
      </c>
      <c r="B17" s="91"/>
      <c r="C17" s="91"/>
      <c r="D17" s="91"/>
      <c r="E17" s="91"/>
      <c r="F17" s="92"/>
      <c r="G17" s="21">
        <f t="shared" si="3"/>
        <v>0</v>
      </c>
      <c r="H17" s="93">
        <f t="shared" si="0"/>
        <v>0</v>
      </c>
      <c r="I17" s="21">
        <f t="shared" si="1"/>
        <v>0</v>
      </c>
      <c r="J17" s="21">
        <f t="shared" si="2"/>
        <v>0</v>
      </c>
      <c r="K17" s="21">
        <f t="shared" si="4"/>
        <v>0</v>
      </c>
      <c r="L17" s="21">
        <f t="shared" si="5"/>
        <v>0</v>
      </c>
      <c r="M17" s="21">
        <f t="shared" si="6"/>
        <v>0</v>
      </c>
      <c r="N17" s="21">
        <f t="shared" si="7"/>
        <v>0</v>
      </c>
      <c r="O17" s="21">
        <f t="shared" si="8"/>
        <v>0</v>
      </c>
      <c r="P17" s="21">
        <f t="shared" si="9"/>
        <v>0</v>
      </c>
      <c r="Q17" s="21">
        <f t="shared" si="10"/>
        <v>0</v>
      </c>
      <c r="R17" s="21">
        <f t="shared" si="11"/>
        <v>0</v>
      </c>
      <c r="S17" s="21">
        <f t="shared" si="12"/>
        <v>0</v>
      </c>
      <c r="T17" s="21">
        <f t="shared" si="13"/>
        <v>0</v>
      </c>
      <c r="U17" s="21">
        <f t="shared" si="14"/>
        <v>0</v>
      </c>
      <c r="V17" s="21">
        <f t="shared" si="15"/>
        <v>0</v>
      </c>
      <c r="W17" s="21">
        <f t="shared" si="16"/>
        <v>0</v>
      </c>
    </row>
    <row r="18" spans="1:23" x14ac:dyDescent="0.25">
      <c r="A18" s="91">
        <v>4</v>
      </c>
      <c r="B18" s="91"/>
      <c r="C18" s="91"/>
      <c r="D18" s="91"/>
      <c r="E18" s="91"/>
      <c r="F18" s="92"/>
      <c r="G18" s="21">
        <f t="shared" si="3"/>
        <v>0</v>
      </c>
      <c r="H18" s="93">
        <f t="shared" si="0"/>
        <v>0</v>
      </c>
      <c r="I18" s="21">
        <f t="shared" si="1"/>
        <v>0</v>
      </c>
      <c r="J18" s="21">
        <f t="shared" si="2"/>
        <v>0</v>
      </c>
      <c r="K18" s="21">
        <f t="shared" si="4"/>
        <v>0</v>
      </c>
      <c r="L18" s="21">
        <f t="shared" si="5"/>
        <v>0</v>
      </c>
      <c r="M18" s="21">
        <f t="shared" si="6"/>
        <v>0</v>
      </c>
      <c r="N18" s="21">
        <f t="shared" si="7"/>
        <v>0</v>
      </c>
      <c r="O18" s="21">
        <f t="shared" si="8"/>
        <v>0</v>
      </c>
      <c r="P18" s="21">
        <f t="shared" si="9"/>
        <v>0</v>
      </c>
      <c r="Q18" s="21">
        <f t="shared" si="10"/>
        <v>0</v>
      </c>
      <c r="R18" s="21">
        <f t="shared" si="11"/>
        <v>0</v>
      </c>
      <c r="S18" s="21">
        <f t="shared" si="12"/>
        <v>0</v>
      </c>
      <c r="T18" s="21">
        <f t="shared" si="13"/>
        <v>0</v>
      </c>
      <c r="U18" s="21">
        <f t="shared" si="14"/>
        <v>0</v>
      </c>
      <c r="V18" s="21">
        <f t="shared" si="15"/>
        <v>0</v>
      </c>
      <c r="W18" s="21">
        <f t="shared" si="16"/>
        <v>0</v>
      </c>
    </row>
    <row r="19" spans="1:23" x14ac:dyDescent="0.25">
      <c r="A19" s="91">
        <v>5</v>
      </c>
      <c r="B19" s="91"/>
      <c r="C19" s="91"/>
      <c r="D19" s="91"/>
      <c r="E19" s="91"/>
      <c r="F19" s="92"/>
      <c r="G19" s="21">
        <f t="shared" si="3"/>
        <v>0</v>
      </c>
      <c r="H19" s="93">
        <f t="shared" si="0"/>
        <v>0</v>
      </c>
      <c r="I19" s="21">
        <f t="shared" si="1"/>
        <v>0</v>
      </c>
      <c r="J19" s="21">
        <f t="shared" si="2"/>
        <v>0</v>
      </c>
      <c r="K19" s="21">
        <f t="shared" si="4"/>
        <v>0</v>
      </c>
      <c r="L19" s="21">
        <f t="shared" si="5"/>
        <v>0</v>
      </c>
      <c r="M19" s="21">
        <f t="shared" si="6"/>
        <v>0</v>
      </c>
      <c r="N19" s="21">
        <f t="shared" si="7"/>
        <v>0</v>
      </c>
      <c r="O19" s="21">
        <f t="shared" si="8"/>
        <v>0</v>
      </c>
      <c r="P19" s="21">
        <f t="shared" si="9"/>
        <v>0</v>
      </c>
      <c r="Q19" s="21">
        <f t="shared" si="10"/>
        <v>0</v>
      </c>
      <c r="R19" s="21">
        <f t="shared" si="11"/>
        <v>0</v>
      </c>
      <c r="S19" s="21">
        <f t="shared" si="12"/>
        <v>0</v>
      </c>
      <c r="T19" s="21">
        <f t="shared" si="13"/>
        <v>0</v>
      </c>
      <c r="U19" s="21">
        <f t="shared" si="14"/>
        <v>0</v>
      </c>
      <c r="V19" s="21">
        <f t="shared" si="15"/>
        <v>0</v>
      </c>
      <c r="W19" s="21">
        <f t="shared" si="16"/>
        <v>0</v>
      </c>
    </row>
    <row r="20" spans="1:23" x14ac:dyDescent="0.25">
      <c r="A20" s="91">
        <v>6</v>
      </c>
      <c r="B20" s="91"/>
      <c r="C20" s="91"/>
      <c r="D20" s="91"/>
      <c r="E20" s="91"/>
      <c r="F20" s="92"/>
      <c r="G20" s="21">
        <f t="shared" si="3"/>
        <v>0</v>
      </c>
      <c r="H20" s="93">
        <f t="shared" si="0"/>
        <v>0</v>
      </c>
      <c r="I20" s="21">
        <f t="shared" si="1"/>
        <v>0</v>
      </c>
      <c r="J20" s="21">
        <f t="shared" si="2"/>
        <v>0</v>
      </c>
      <c r="K20" s="21">
        <f t="shared" si="4"/>
        <v>0</v>
      </c>
      <c r="L20" s="21">
        <f t="shared" si="5"/>
        <v>0</v>
      </c>
      <c r="M20" s="21">
        <f t="shared" si="6"/>
        <v>0</v>
      </c>
      <c r="N20" s="21">
        <f t="shared" si="7"/>
        <v>0</v>
      </c>
      <c r="O20" s="21">
        <f t="shared" si="8"/>
        <v>0</v>
      </c>
      <c r="P20" s="21">
        <f t="shared" si="9"/>
        <v>0</v>
      </c>
      <c r="Q20" s="21">
        <f t="shared" si="10"/>
        <v>0</v>
      </c>
      <c r="R20" s="21">
        <f t="shared" si="11"/>
        <v>0</v>
      </c>
      <c r="S20" s="21">
        <f t="shared" si="12"/>
        <v>0</v>
      </c>
      <c r="T20" s="21">
        <f t="shared" si="13"/>
        <v>0</v>
      </c>
      <c r="U20" s="21">
        <f t="shared" si="14"/>
        <v>0</v>
      </c>
      <c r="V20" s="21">
        <f t="shared" si="15"/>
        <v>0</v>
      </c>
      <c r="W20" s="21">
        <f t="shared" si="16"/>
        <v>0</v>
      </c>
    </row>
    <row r="21" spans="1:23" x14ac:dyDescent="0.25">
      <c r="A21" s="91">
        <v>7</v>
      </c>
      <c r="B21" s="91"/>
      <c r="C21" s="91"/>
      <c r="D21" s="91"/>
      <c r="E21" s="91"/>
      <c r="F21" s="92"/>
      <c r="G21" s="21">
        <f t="shared" si="3"/>
        <v>0</v>
      </c>
      <c r="H21" s="93">
        <f t="shared" si="0"/>
        <v>0</v>
      </c>
      <c r="I21" s="21">
        <f t="shared" si="1"/>
        <v>0</v>
      </c>
      <c r="J21" s="21">
        <f t="shared" si="2"/>
        <v>0</v>
      </c>
      <c r="K21" s="21">
        <f t="shared" si="4"/>
        <v>0</v>
      </c>
      <c r="L21" s="21">
        <f t="shared" si="5"/>
        <v>0</v>
      </c>
      <c r="M21" s="21">
        <f t="shared" si="6"/>
        <v>0</v>
      </c>
      <c r="N21" s="21">
        <f t="shared" si="7"/>
        <v>0</v>
      </c>
      <c r="O21" s="21">
        <f t="shared" si="8"/>
        <v>0</v>
      </c>
      <c r="P21" s="21">
        <f t="shared" si="9"/>
        <v>0</v>
      </c>
      <c r="Q21" s="21">
        <f t="shared" si="10"/>
        <v>0</v>
      </c>
      <c r="R21" s="21">
        <f t="shared" si="11"/>
        <v>0</v>
      </c>
      <c r="S21" s="21">
        <f t="shared" si="12"/>
        <v>0</v>
      </c>
      <c r="T21" s="21">
        <f t="shared" si="13"/>
        <v>0</v>
      </c>
      <c r="U21" s="21">
        <f t="shared" si="14"/>
        <v>0</v>
      </c>
      <c r="V21" s="21">
        <f t="shared" si="15"/>
        <v>0</v>
      </c>
      <c r="W21" s="21">
        <f t="shared" si="16"/>
        <v>0</v>
      </c>
    </row>
    <row r="22" spans="1:23" x14ac:dyDescent="0.25">
      <c r="A22" s="91">
        <v>8</v>
      </c>
      <c r="B22" s="91"/>
      <c r="C22" s="91"/>
      <c r="D22" s="91"/>
      <c r="E22" s="91"/>
      <c r="F22" s="92"/>
      <c r="G22" s="21">
        <f t="shared" si="3"/>
        <v>0</v>
      </c>
      <c r="H22" s="93">
        <f t="shared" si="0"/>
        <v>0</v>
      </c>
      <c r="I22" s="21">
        <f t="shared" si="1"/>
        <v>0</v>
      </c>
      <c r="J22" s="21">
        <f t="shared" si="2"/>
        <v>0</v>
      </c>
      <c r="K22" s="21">
        <f t="shared" si="4"/>
        <v>0</v>
      </c>
      <c r="L22" s="21">
        <f t="shared" si="5"/>
        <v>0</v>
      </c>
      <c r="M22" s="21">
        <f t="shared" si="6"/>
        <v>0</v>
      </c>
      <c r="N22" s="21">
        <f t="shared" si="7"/>
        <v>0</v>
      </c>
      <c r="O22" s="21">
        <f t="shared" si="8"/>
        <v>0</v>
      </c>
      <c r="P22" s="21">
        <f t="shared" si="9"/>
        <v>0</v>
      </c>
      <c r="Q22" s="21">
        <f t="shared" si="10"/>
        <v>0</v>
      </c>
      <c r="R22" s="21">
        <f t="shared" si="11"/>
        <v>0</v>
      </c>
      <c r="S22" s="21">
        <f t="shared" si="12"/>
        <v>0</v>
      </c>
      <c r="T22" s="21">
        <f t="shared" si="13"/>
        <v>0</v>
      </c>
      <c r="U22" s="21">
        <f t="shared" si="14"/>
        <v>0</v>
      </c>
      <c r="V22" s="21">
        <f t="shared" si="15"/>
        <v>0</v>
      </c>
      <c r="W22" s="21">
        <f t="shared" si="16"/>
        <v>0</v>
      </c>
    </row>
    <row r="23" spans="1:23" x14ac:dyDescent="0.25">
      <c r="A23" s="91">
        <v>9</v>
      </c>
      <c r="B23" s="91"/>
      <c r="C23" s="91"/>
      <c r="D23" s="91"/>
      <c r="E23" s="91"/>
      <c r="F23" s="92"/>
      <c r="G23" s="21">
        <f t="shared" si="3"/>
        <v>0</v>
      </c>
      <c r="H23" s="93">
        <f t="shared" si="0"/>
        <v>0</v>
      </c>
      <c r="I23" s="21">
        <f t="shared" si="1"/>
        <v>0</v>
      </c>
      <c r="J23" s="21">
        <f t="shared" si="2"/>
        <v>0</v>
      </c>
      <c r="K23" s="21">
        <f t="shared" si="4"/>
        <v>0</v>
      </c>
      <c r="L23" s="21">
        <f t="shared" si="5"/>
        <v>0</v>
      </c>
      <c r="M23" s="21">
        <f t="shared" si="6"/>
        <v>0</v>
      </c>
      <c r="N23" s="21">
        <f t="shared" si="7"/>
        <v>0</v>
      </c>
      <c r="O23" s="21">
        <f t="shared" si="8"/>
        <v>0</v>
      </c>
      <c r="P23" s="21">
        <f t="shared" si="9"/>
        <v>0</v>
      </c>
      <c r="Q23" s="21">
        <f t="shared" si="10"/>
        <v>0</v>
      </c>
      <c r="R23" s="21">
        <f t="shared" si="11"/>
        <v>0</v>
      </c>
      <c r="S23" s="21">
        <f t="shared" si="12"/>
        <v>0</v>
      </c>
      <c r="T23" s="21">
        <f t="shared" si="13"/>
        <v>0</v>
      </c>
      <c r="U23" s="21">
        <f t="shared" si="14"/>
        <v>0</v>
      </c>
      <c r="V23" s="21">
        <f t="shared" si="15"/>
        <v>0</v>
      </c>
      <c r="W23" s="21">
        <f t="shared" si="16"/>
        <v>0</v>
      </c>
    </row>
    <row r="24" spans="1:23" x14ac:dyDescent="0.25">
      <c r="A24" s="91">
        <v>10</v>
      </c>
      <c r="B24" s="91"/>
      <c r="C24" s="91"/>
      <c r="D24" s="91"/>
      <c r="E24" s="91"/>
      <c r="F24" s="92"/>
      <c r="G24" s="21">
        <f t="shared" si="3"/>
        <v>0</v>
      </c>
      <c r="H24" s="93">
        <f t="shared" si="0"/>
        <v>0</v>
      </c>
      <c r="I24" s="21">
        <f t="shared" si="1"/>
        <v>0</v>
      </c>
      <c r="J24" s="21">
        <f t="shared" si="2"/>
        <v>0</v>
      </c>
      <c r="K24" s="21">
        <f t="shared" si="4"/>
        <v>0</v>
      </c>
      <c r="L24" s="21">
        <f t="shared" si="5"/>
        <v>0</v>
      </c>
      <c r="M24" s="21">
        <f t="shared" si="6"/>
        <v>0</v>
      </c>
      <c r="N24" s="21">
        <f t="shared" si="7"/>
        <v>0</v>
      </c>
      <c r="O24" s="21">
        <f t="shared" si="8"/>
        <v>0</v>
      </c>
      <c r="P24" s="21">
        <f t="shared" si="9"/>
        <v>0</v>
      </c>
      <c r="Q24" s="21">
        <f t="shared" si="10"/>
        <v>0</v>
      </c>
      <c r="R24" s="21">
        <f t="shared" si="11"/>
        <v>0</v>
      </c>
      <c r="S24" s="21">
        <f t="shared" si="12"/>
        <v>0</v>
      </c>
      <c r="T24" s="21">
        <f t="shared" si="13"/>
        <v>0</v>
      </c>
      <c r="U24" s="21">
        <f t="shared" si="14"/>
        <v>0</v>
      </c>
      <c r="V24" s="21">
        <f t="shared" si="15"/>
        <v>0</v>
      </c>
      <c r="W24" s="21">
        <f t="shared" si="16"/>
        <v>0</v>
      </c>
    </row>
    <row r="25" spans="1:23" x14ac:dyDescent="0.25">
      <c r="A25" s="91">
        <v>11</v>
      </c>
      <c r="B25" s="91"/>
      <c r="C25" s="91"/>
      <c r="D25" s="91"/>
      <c r="E25" s="91"/>
      <c r="F25" s="92"/>
      <c r="G25" s="21">
        <f t="shared" si="3"/>
        <v>0</v>
      </c>
      <c r="H25" s="93">
        <f t="shared" si="0"/>
        <v>0</v>
      </c>
      <c r="I25" s="21">
        <f t="shared" si="1"/>
        <v>0</v>
      </c>
      <c r="J25" s="21">
        <f t="shared" si="2"/>
        <v>0</v>
      </c>
      <c r="K25" s="21">
        <f t="shared" si="4"/>
        <v>0</v>
      </c>
      <c r="L25" s="21">
        <f t="shared" si="5"/>
        <v>0</v>
      </c>
      <c r="M25" s="21">
        <f t="shared" si="6"/>
        <v>0</v>
      </c>
      <c r="N25" s="21">
        <f t="shared" si="7"/>
        <v>0</v>
      </c>
      <c r="O25" s="21">
        <f t="shared" si="8"/>
        <v>0</v>
      </c>
      <c r="P25" s="21">
        <f t="shared" si="9"/>
        <v>0</v>
      </c>
      <c r="Q25" s="21">
        <f t="shared" si="10"/>
        <v>0</v>
      </c>
      <c r="R25" s="21">
        <f t="shared" si="11"/>
        <v>0</v>
      </c>
      <c r="S25" s="21">
        <f t="shared" si="12"/>
        <v>0</v>
      </c>
      <c r="T25" s="21">
        <f t="shared" si="13"/>
        <v>0</v>
      </c>
      <c r="U25" s="21">
        <f t="shared" si="14"/>
        <v>0</v>
      </c>
      <c r="V25" s="21">
        <f t="shared" si="15"/>
        <v>0</v>
      </c>
      <c r="W25" s="21">
        <f t="shared" si="16"/>
        <v>0</v>
      </c>
    </row>
    <row r="26" spans="1:23" x14ac:dyDescent="0.25">
      <c r="A26" s="91">
        <v>12</v>
      </c>
      <c r="B26" s="91"/>
      <c r="C26" s="91"/>
      <c r="D26" s="91"/>
      <c r="E26" s="91"/>
      <c r="F26" s="92"/>
      <c r="G26" s="21">
        <f t="shared" si="3"/>
        <v>0</v>
      </c>
      <c r="H26" s="93">
        <f t="shared" si="0"/>
        <v>0</v>
      </c>
      <c r="I26" s="21">
        <f t="shared" si="1"/>
        <v>0</v>
      </c>
      <c r="J26" s="21">
        <f t="shared" si="2"/>
        <v>0</v>
      </c>
      <c r="K26" s="21">
        <f t="shared" si="4"/>
        <v>0</v>
      </c>
      <c r="L26" s="21">
        <f t="shared" si="5"/>
        <v>0</v>
      </c>
      <c r="M26" s="21">
        <f t="shared" si="6"/>
        <v>0</v>
      </c>
      <c r="N26" s="21">
        <f t="shared" si="7"/>
        <v>0</v>
      </c>
      <c r="O26" s="21">
        <f t="shared" si="8"/>
        <v>0</v>
      </c>
      <c r="P26" s="21">
        <f t="shared" si="9"/>
        <v>0</v>
      </c>
      <c r="Q26" s="21">
        <f t="shared" si="10"/>
        <v>0</v>
      </c>
      <c r="R26" s="21">
        <f t="shared" si="11"/>
        <v>0</v>
      </c>
      <c r="S26" s="21">
        <f t="shared" si="12"/>
        <v>0</v>
      </c>
      <c r="T26" s="21">
        <f t="shared" si="13"/>
        <v>0</v>
      </c>
      <c r="U26" s="21">
        <f t="shared" si="14"/>
        <v>0</v>
      </c>
      <c r="V26" s="21">
        <f t="shared" si="15"/>
        <v>0</v>
      </c>
      <c r="W26" s="21">
        <f t="shared" si="16"/>
        <v>0</v>
      </c>
    </row>
    <row r="27" spans="1:23" s="95" customFormat="1" ht="14.25" x14ac:dyDescent="0.2">
      <c r="A27" s="319" t="s">
        <v>73</v>
      </c>
      <c r="B27" s="320"/>
      <c r="C27" s="135"/>
      <c r="D27" s="135"/>
      <c r="E27" s="94">
        <f>SUM(E15:E26)</f>
        <v>0</v>
      </c>
      <c r="F27" s="94">
        <f>SUM(F15:F26)</f>
        <v>0</v>
      </c>
      <c r="G27" s="94">
        <f>SUM(G15:G26)</f>
        <v>0</v>
      </c>
      <c r="H27" s="94"/>
      <c r="I27" s="94">
        <f>SUM(I15:I26)</f>
        <v>0</v>
      </c>
      <c r="J27" s="94">
        <f>SUM(J15:J26)</f>
        <v>0</v>
      </c>
      <c r="K27" s="94"/>
      <c r="L27" s="94">
        <f t="shared" ref="L27:W27" si="17">SUM(L15:L26)</f>
        <v>0</v>
      </c>
      <c r="M27" s="94">
        <f t="shared" si="17"/>
        <v>0</v>
      </c>
      <c r="N27" s="94">
        <f t="shared" si="17"/>
        <v>0</v>
      </c>
      <c r="O27" s="94">
        <f t="shared" si="17"/>
        <v>0</v>
      </c>
      <c r="P27" s="94">
        <f t="shared" si="17"/>
        <v>0</v>
      </c>
      <c r="Q27" s="94">
        <f t="shared" si="17"/>
        <v>0</v>
      </c>
      <c r="R27" s="94">
        <f t="shared" si="17"/>
        <v>0</v>
      </c>
      <c r="S27" s="94">
        <f t="shared" si="17"/>
        <v>0</v>
      </c>
      <c r="T27" s="94">
        <f t="shared" si="17"/>
        <v>0</v>
      </c>
      <c r="U27" s="94">
        <f t="shared" si="17"/>
        <v>0</v>
      </c>
      <c r="V27" s="94">
        <f t="shared" si="17"/>
        <v>0</v>
      </c>
      <c r="W27" s="94">
        <f t="shared" si="17"/>
        <v>0</v>
      </c>
    </row>
    <row r="28" spans="1:23" x14ac:dyDescent="0.25">
      <c r="A28" s="42"/>
      <c r="B28" s="42"/>
      <c r="C28" s="43"/>
      <c r="D28" s="43"/>
      <c r="E28" s="43"/>
    </row>
    <row r="29" spans="1:23" x14ac:dyDescent="0.25">
      <c r="A29" s="44" t="s">
        <v>62</v>
      </c>
      <c r="B29" s="37"/>
      <c r="C29"/>
      <c r="D29"/>
      <c r="E29"/>
    </row>
    <row r="30" spans="1:23" x14ac:dyDescent="0.25">
      <c r="A30" s="37"/>
      <c r="B30" s="37"/>
      <c r="C30"/>
      <c r="D30"/>
      <c r="E30"/>
    </row>
    <row r="31" spans="1:23" x14ac:dyDescent="0.25">
      <c r="A31" s="42"/>
      <c r="B31" s="42"/>
      <c r="C31" s="43"/>
      <c r="D31" s="43"/>
      <c r="E31" s="43"/>
    </row>
    <row r="32" spans="1:23" x14ac:dyDescent="0.25">
      <c r="A32" s="44" t="s">
        <v>63</v>
      </c>
      <c r="B32" s="37"/>
      <c r="C32"/>
      <c r="D32"/>
      <c r="E32"/>
    </row>
    <row r="33" spans="1:5" x14ac:dyDescent="0.25">
      <c r="A33" s="37"/>
      <c r="B33" s="37"/>
      <c r="C33"/>
      <c r="D33"/>
      <c r="E33"/>
    </row>
    <row r="34" spans="1:5" x14ac:dyDescent="0.25">
      <c r="A34" s="42"/>
      <c r="B34" s="42"/>
      <c r="C34" s="43"/>
      <c r="D34" s="43"/>
      <c r="E34" s="43"/>
    </row>
    <row r="35" spans="1:5" x14ac:dyDescent="0.25">
      <c r="A35" s="44" t="s">
        <v>74</v>
      </c>
      <c r="B35" s="37"/>
      <c r="C35"/>
      <c r="D35"/>
      <c r="E35"/>
    </row>
    <row r="36" spans="1:5" x14ac:dyDescent="0.25">
      <c r="A36" s="37"/>
      <c r="B36" s="37"/>
      <c r="C36"/>
      <c r="D36"/>
      <c r="E36"/>
    </row>
    <row r="37" spans="1:5" x14ac:dyDescent="0.25">
      <c r="A37" s="42"/>
      <c r="B37" s="42"/>
      <c r="C37" s="43"/>
      <c r="D37" s="49"/>
      <c r="E37"/>
    </row>
    <row r="38" spans="1:5" x14ac:dyDescent="0.25">
      <c r="A38" s="44" t="s">
        <v>64</v>
      </c>
      <c r="B38" s="37"/>
      <c r="C38"/>
      <c r="D38"/>
      <c r="E38"/>
    </row>
    <row r="39" spans="1:5" x14ac:dyDescent="0.25">
      <c r="A39" s="49"/>
      <c r="B39" s="49"/>
      <c r="C39" s="49"/>
      <c r="D39" s="49"/>
      <c r="E39" s="49"/>
    </row>
  </sheetData>
  <mergeCells count="8">
    <mergeCell ref="V14:W14"/>
    <mergeCell ref="A27:B27"/>
    <mergeCell ref="A10:G10"/>
    <mergeCell ref="L14:M14"/>
    <mergeCell ref="N14:O14"/>
    <mergeCell ref="P14:Q14"/>
    <mergeCell ref="R14:S14"/>
    <mergeCell ref="T14:U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2:W39"/>
  <sheetViews>
    <sheetView topLeftCell="A11" workbookViewId="0">
      <selection activeCell="A23" sqref="A23"/>
    </sheetView>
  </sheetViews>
  <sheetFormatPr defaultColWidth="8.7109375" defaultRowHeight="15" x14ac:dyDescent="0.25"/>
  <cols>
    <col min="1" max="1" width="5.85546875" style="17" customWidth="1"/>
    <col min="2" max="2" width="33.85546875" style="17" customWidth="1"/>
    <col min="3" max="3" width="16.85546875" style="17" customWidth="1"/>
    <col min="4" max="4" width="9.28515625" style="17" customWidth="1"/>
    <col min="5" max="5" width="16" style="17" customWidth="1"/>
    <col min="6" max="6" width="12" style="17" customWidth="1"/>
    <col min="7" max="7" width="12.140625" style="17" customWidth="1"/>
    <col min="8" max="8" width="12.85546875" style="17" customWidth="1"/>
    <col min="9" max="9" width="18.85546875" style="17" customWidth="1"/>
    <col min="10" max="10" width="17.28515625" style="17" customWidth="1"/>
    <col min="11" max="11" width="11.85546875" style="17" customWidth="1"/>
    <col min="12" max="23" width="13.5703125" style="17" customWidth="1"/>
    <col min="24" max="16384" width="8.7109375" style="17"/>
  </cols>
  <sheetData>
    <row r="2" spans="1:23" x14ac:dyDescent="0.25">
      <c r="E2" s="18" t="s">
        <v>14</v>
      </c>
      <c r="J2" s="19"/>
      <c r="K2" s="19"/>
    </row>
    <row r="3" spans="1:23" x14ac:dyDescent="0.25">
      <c r="A3" s="20"/>
      <c r="B3" s="20"/>
      <c r="C3" s="20"/>
      <c r="D3" s="20"/>
      <c r="E3" s="20"/>
    </row>
    <row r="4" spans="1:23" x14ac:dyDescent="0.25">
      <c r="A4" s="56" t="s">
        <v>67</v>
      </c>
      <c r="B4" s="43"/>
      <c r="C4" s="56"/>
      <c r="D4" s="56"/>
      <c r="E4" s="56"/>
    </row>
    <row r="5" spans="1:23" x14ac:dyDescent="0.25">
      <c r="A5" s="36"/>
      <c r="B5" s="36"/>
      <c r="C5" s="36"/>
      <c r="D5" s="36"/>
      <c r="E5" s="36"/>
    </row>
    <row r="6" spans="1:23" x14ac:dyDescent="0.25">
      <c r="A6" s="36">
        <v>1</v>
      </c>
      <c r="B6" s="56" t="s">
        <v>68</v>
      </c>
      <c r="C6" s="56"/>
      <c r="D6" s="56"/>
      <c r="E6" s="56"/>
    </row>
    <row r="7" spans="1:23" x14ac:dyDescent="0.25">
      <c r="A7" s="36">
        <v>2</v>
      </c>
      <c r="B7" s="57" t="s">
        <v>15</v>
      </c>
      <c r="C7" s="57"/>
      <c r="D7" s="57"/>
      <c r="E7" s="74">
        <f>'№ 910 Декларация '!D8</f>
        <v>461040002572</v>
      </c>
    </row>
    <row r="8" spans="1:23" x14ac:dyDescent="0.25">
      <c r="A8" s="36">
        <v>3</v>
      </c>
      <c r="B8" s="56" t="s">
        <v>136</v>
      </c>
      <c r="C8" s="56"/>
      <c r="D8" s="56"/>
      <c r="E8" s="56"/>
      <c r="F8" s="17">
        <f>'№ 910 Декларация '!L12</f>
        <v>1</v>
      </c>
      <c r="G8" s="17">
        <f>'№ 910 Декларация '!O12</f>
        <v>2020</v>
      </c>
      <c r="H8" s="17" t="s">
        <v>137</v>
      </c>
    </row>
    <row r="9" spans="1:23" x14ac:dyDescent="0.25">
      <c r="A9" s="49"/>
      <c r="B9" s="49"/>
      <c r="C9" s="49"/>
      <c r="D9" s="49"/>
      <c r="E9" s="49"/>
      <c r="F9" s="49"/>
    </row>
    <row r="10" spans="1:23" ht="43.5" customHeight="1" x14ac:dyDescent="0.25">
      <c r="A10" s="315" t="s">
        <v>177</v>
      </c>
      <c r="B10" s="315"/>
      <c r="C10" s="315"/>
      <c r="D10" s="315"/>
      <c r="E10" s="315"/>
      <c r="F10" s="315"/>
      <c r="G10" s="315"/>
    </row>
    <row r="11" spans="1:23" x14ac:dyDescent="0.25">
      <c r="A11" s="49"/>
      <c r="B11" s="49"/>
      <c r="C11" s="49"/>
      <c r="D11" s="49"/>
      <c r="E11" s="49"/>
    </row>
    <row r="12" spans="1:23" x14ac:dyDescent="0.25">
      <c r="A12" s="49"/>
      <c r="B12" s="49"/>
      <c r="C12" s="49"/>
      <c r="D12" s="49"/>
      <c r="E12" s="49"/>
    </row>
    <row r="13" spans="1:23" ht="114.75" x14ac:dyDescent="0.25">
      <c r="A13" s="58" t="s">
        <v>69</v>
      </c>
      <c r="B13" s="39" t="s">
        <v>138</v>
      </c>
      <c r="C13" s="39" t="s">
        <v>133</v>
      </c>
      <c r="D13" s="39" t="s">
        <v>140</v>
      </c>
      <c r="E13" s="39" t="s">
        <v>178</v>
      </c>
      <c r="F13" s="58" t="s">
        <v>76</v>
      </c>
      <c r="G13" s="58" t="s">
        <v>77</v>
      </c>
      <c r="H13" s="39" t="s">
        <v>170</v>
      </c>
      <c r="I13" s="39" t="s">
        <v>134</v>
      </c>
      <c r="J13" s="39" t="s">
        <v>135</v>
      </c>
      <c r="K13" s="39" t="s">
        <v>139</v>
      </c>
      <c r="L13" s="39" t="s">
        <v>134</v>
      </c>
      <c r="M13" s="39" t="s">
        <v>135</v>
      </c>
      <c r="N13" s="39" t="s">
        <v>134</v>
      </c>
      <c r="O13" s="39" t="s">
        <v>135</v>
      </c>
      <c r="P13" s="39" t="s">
        <v>134</v>
      </c>
      <c r="Q13" s="39" t="s">
        <v>135</v>
      </c>
      <c r="R13" s="39" t="s">
        <v>134</v>
      </c>
      <c r="S13" s="39" t="s">
        <v>135</v>
      </c>
      <c r="T13" s="39" t="s">
        <v>134</v>
      </c>
      <c r="U13" s="39" t="s">
        <v>135</v>
      </c>
      <c r="V13" s="39" t="s">
        <v>134</v>
      </c>
      <c r="W13" s="39" t="s">
        <v>182</v>
      </c>
    </row>
    <row r="14" spans="1:23" x14ac:dyDescent="0.25">
      <c r="A14" s="58"/>
      <c r="B14" s="39"/>
      <c r="C14" s="39"/>
      <c r="D14" s="39"/>
      <c r="E14" s="39"/>
      <c r="F14" s="58"/>
      <c r="G14" s="58"/>
      <c r="H14" s="39"/>
      <c r="I14" s="39"/>
      <c r="J14" s="39"/>
      <c r="K14" s="39"/>
      <c r="L14" s="318" t="str">
        <f>IF('№ 910 Декларация '!L12=1,"январь","июль")</f>
        <v>январь</v>
      </c>
      <c r="M14" s="318"/>
      <c r="N14" s="318" t="str">
        <f>IF('№ 910 Декларация '!L12=1,"февраль","август")</f>
        <v>февраль</v>
      </c>
      <c r="O14" s="318"/>
      <c r="P14" s="318" t="str">
        <f>IF('№ 910 Декларация '!L12=1,"март","сентябрь")</f>
        <v>март</v>
      </c>
      <c r="Q14" s="318"/>
      <c r="R14" s="318" t="str">
        <f>IF('№ 910 Декларация '!L12=1,"апрель","октябрь")</f>
        <v>апрель</v>
      </c>
      <c r="S14" s="318"/>
      <c r="T14" s="318" t="str">
        <f>IF('№ 910 Декларация '!L12=1,"май","ноябрь")</f>
        <v>май</v>
      </c>
      <c r="U14" s="318"/>
      <c r="V14" s="318" t="str">
        <f>IF('№ 910 Декларация '!L12=1,"июнь","декабрь")</f>
        <v>июнь</v>
      </c>
      <c r="W14" s="318"/>
    </row>
    <row r="15" spans="1:23" x14ac:dyDescent="0.25">
      <c r="A15" s="91">
        <v>1</v>
      </c>
      <c r="B15" s="91"/>
      <c r="C15" s="91"/>
      <c r="D15" s="91"/>
      <c r="E15" s="91"/>
      <c r="F15" s="92"/>
      <c r="G15" s="21">
        <f t="shared" ref="G15:G26" si="0">E15-F15</f>
        <v>0</v>
      </c>
      <c r="H15" s="93">
        <f t="shared" ref="H15:H26" si="1">IF(E15&lt;=0,0,IF(C15=3,20%,10%))</f>
        <v>0</v>
      </c>
      <c r="I15" s="21">
        <f>IF(C15=1,G15*0.89*H15,0)</f>
        <v>0</v>
      </c>
      <c r="J15" s="21">
        <f>IF(C15=3,G15*H15,IF(C15=2,G15*0.89*H15,0))</f>
        <v>0</v>
      </c>
      <c r="K15" s="21">
        <f t="shared" ref="K15:K26" si="2">IF(D15&gt;6,D15-6,D15)</f>
        <v>0</v>
      </c>
      <c r="L15" s="21">
        <f>IF($K15=1,$I15,0)</f>
        <v>0</v>
      </c>
      <c r="M15" s="21">
        <f>IF($K15=1,$J15,0)</f>
        <v>0</v>
      </c>
      <c r="N15" s="21">
        <f>IF($K15=2,$I15,0)</f>
        <v>0</v>
      </c>
      <c r="O15" s="21">
        <f>IF($K15=2,$J15,0)</f>
        <v>0</v>
      </c>
      <c r="P15" s="21">
        <f>IF($K15=3,$I15,0)</f>
        <v>0</v>
      </c>
      <c r="Q15" s="21">
        <f>IF($K15=3,$J15,0)</f>
        <v>0</v>
      </c>
      <c r="R15" s="21">
        <f>IF($K15=4,$I15,0)</f>
        <v>0</v>
      </c>
      <c r="S15" s="21">
        <f>IF($K15=4,$J15,0)</f>
        <v>0</v>
      </c>
      <c r="T15" s="21">
        <f>IF($K15=5,$I15,0)</f>
        <v>0</v>
      </c>
      <c r="U15" s="21">
        <f>IF($K15=5,$J15,0)</f>
        <v>0</v>
      </c>
      <c r="V15" s="21">
        <f>IF($K15=6,$I15,0)</f>
        <v>0</v>
      </c>
      <c r="W15" s="21">
        <f>IF($K15=6,$J15,0)</f>
        <v>0</v>
      </c>
    </row>
    <row r="16" spans="1:23" x14ac:dyDescent="0.25">
      <c r="A16" s="91">
        <v>2</v>
      </c>
      <c r="B16" s="91"/>
      <c r="C16" s="91"/>
      <c r="D16" s="91"/>
      <c r="E16" s="91"/>
      <c r="F16" s="92"/>
      <c r="G16" s="21">
        <f t="shared" si="0"/>
        <v>0</v>
      </c>
      <c r="H16" s="93">
        <f t="shared" si="1"/>
        <v>0</v>
      </c>
      <c r="I16" s="21">
        <f t="shared" ref="I16:I26" si="3">IF(C16=1,G16*0.89*H16,0)</f>
        <v>0</v>
      </c>
      <c r="J16" s="21">
        <f>IF(C16=3,G16*H16,IF(C16=2,G16*0.89*H16,0))</f>
        <v>0</v>
      </c>
      <c r="K16" s="21">
        <f t="shared" si="2"/>
        <v>0</v>
      </c>
      <c r="L16" s="21">
        <f t="shared" ref="L16:L26" si="4">IF($K16=1,$I16,0)</f>
        <v>0</v>
      </c>
      <c r="M16" s="21">
        <f t="shared" ref="M16:M26" si="5">IF($K16=1,$J16,0)</f>
        <v>0</v>
      </c>
      <c r="N16" s="21">
        <f t="shared" ref="N16:N26" si="6">IF($K16=2,$I16,0)</f>
        <v>0</v>
      </c>
      <c r="O16" s="21">
        <f t="shared" ref="O16:O26" si="7">IF($K16=2,$J16,0)</f>
        <v>0</v>
      </c>
      <c r="P16" s="21">
        <f t="shared" ref="P16:P26" si="8">IF($K16=3,$I16,0)</f>
        <v>0</v>
      </c>
      <c r="Q16" s="21">
        <f t="shared" ref="Q16:Q26" si="9">IF($K16=3,$J16,0)</f>
        <v>0</v>
      </c>
      <c r="R16" s="21">
        <f t="shared" ref="R16:R26" si="10">IF($K16=4,$I16,0)</f>
        <v>0</v>
      </c>
      <c r="S16" s="21">
        <f t="shared" ref="S16:S26" si="11">IF($K16=4,$J16,0)</f>
        <v>0</v>
      </c>
      <c r="T16" s="21">
        <f t="shared" ref="T16:T26" si="12">IF($K16=5,$I16,0)</f>
        <v>0</v>
      </c>
      <c r="U16" s="21">
        <f t="shared" ref="U16:U26" si="13">IF($K16=5,$J16,0)</f>
        <v>0</v>
      </c>
      <c r="V16" s="21">
        <f t="shared" ref="V16:V26" si="14">IF($K16=6,$I16,0)</f>
        <v>0</v>
      </c>
      <c r="W16" s="21">
        <f t="shared" ref="W16:W26" si="15">IF($K16=6,$J16,0)</f>
        <v>0</v>
      </c>
    </row>
    <row r="17" spans="1:23" x14ac:dyDescent="0.25">
      <c r="A17" s="91">
        <v>3</v>
      </c>
      <c r="B17" s="91"/>
      <c r="C17" s="91"/>
      <c r="D17" s="91"/>
      <c r="E17" s="91"/>
      <c r="F17" s="92"/>
      <c r="G17" s="21">
        <f t="shared" si="0"/>
        <v>0</v>
      </c>
      <c r="H17" s="93">
        <f t="shared" si="1"/>
        <v>0</v>
      </c>
      <c r="I17" s="21">
        <f t="shared" si="3"/>
        <v>0</v>
      </c>
      <c r="J17" s="21">
        <f t="shared" ref="J17:J26" si="16">IF(C17=3,G17*H17,IF(C17=2,G17*0.89*H17,0))</f>
        <v>0</v>
      </c>
      <c r="K17" s="21">
        <f t="shared" si="2"/>
        <v>0</v>
      </c>
      <c r="L17" s="21">
        <f t="shared" si="4"/>
        <v>0</v>
      </c>
      <c r="M17" s="21">
        <f t="shared" si="5"/>
        <v>0</v>
      </c>
      <c r="N17" s="21">
        <f t="shared" si="6"/>
        <v>0</v>
      </c>
      <c r="O17" s="21">
        <f t="shared" si="7"/>
        <v>0</v>
      </c>
      <c r="P17" s="21">
        <f t="shared" si="8"/>
        <v>0</v>
      </c>
      <c r="Q17" s="21">
        <f t="shared" si="9"/>
        <v>0</v>
      </c>
      <c r="R17" s="21">
        <f t="shared" si="10"/>
        <v>0</v>
      </c>
      <c r="S17" s="21">
        <f t="shared" si="11"/>
        <v>0</v>
      </c>
      <c r="T17" s="21">
        <f t="shared" si="12"/>
        <v>0</v>
      </c>
      <c r="U17" s="21">
        <f t="shared" si="13"/>
        <v>0</v>
      </c>
      <c r="V17" s="21">
        <f t="shared" si="14"/>
        <v>0</v>
      </c>
      <c r="W17" s="21">
        <f t="shared" si="15"/>
        <v>0</v>
      </c>
    </row>
    <row r="18" spans="1:23" x14ac:dyDescent="0.25">
      <c r="A18" s="91">
        <v>4</v>
      </c>
      <c r="B18" s="91"/>
      <c r="C18" s="91"/>
      <c r="D18" s="91"/>
      <c r="E18" s="91"/>
      <c r="F18" s="92"/>
      <c r="G18" s="21">
        <f t="shared" si="0"/>
        <v>0</v>
      </c>
      <c r="H18" s="93">
        <f t="shared" si="1"/>
        <v>0</v>
      </c>
      <c r="I18" s="21">
        <f t="shared" si="3"/>
        <v>0</v>
      </c>
      <c r="J18" s="21">
        <f t="shared" si="16"/>
        <v>0</v>
      </c>
      <c r="K18" s="21">
        <f t="shared" si="2"/>
        <v>0</v>
      </c>
      <c r="L18" s="21">
        <f t="shared" si="4"/>
        <v>0</v>
      </c>
      <c r="M18" s="21">
        <f t="shared" si="5"/>
        <v>0</v>
      </c>
      <c r="N18" s="21">
        <f t="shared" si="6"/>
        <v>0</v>
      </c>
      <c r="O18" s="21">
        <f t="shared" si="7"/>
        <v>0</v>
      </c>
      <c r="P18" s="21">
        <f t="shared" si="8"/>
        <v>0</v>
      </c>
      <c r="Q18" s="21">
        <f t="shared" si="9"/>
        <v>0</v>
      </c>
      <c r="R18" s="21">
        <f t="shared" si="10"/>
        <v>0</v>
      </c>
      <c r="S18" s="21">
        <f t="shared" si="11"/>
        <v>0</v>
      </c>
      <c r="T18" s="21">
        <f t="shared" si="12"/>
        <v>0</v>
      </c>
      <c r="U18" s="21">
        <f t="shared" si="13"/>
        <v>0</v>
      </c>
      <c r="V18" s="21">
        <f t="shared" si="14"/>
        <v>0</v>
      </c>
      <c r="W18" s="21">
        <f t="shared" si="15"/>
        <v>0</v>
      </c>
    </row>
    <row r="19" spans="1:23" x14ac:dyDescent="0.25">
      <c r="A19" s="91">
        <v>5</v>
      </c>
      <c r="B19" s="91"/>
      <c r="C19" s="91"/>
      <c r="D19" s="91"/>
      <c r="E19" s="91"/>
      <c r="F19" s="92"/>
      <c r="G19" s="21">
        <f t="shared" si="0"/>
        <v>0</v>
      </c>
      <c r="H19" s="93">
        <f t="shared" si="1"/>
        <v>0</v>
      </c>
      <c r="I19" s="21">
        <f t="shared" si="3"/>
        <v>0</v>
      </c>
      <c r="J19" s="21">
        <f t="shared" si="16"/>
        <v>0</v>
      </c>
      <c r="K19" s="21">
        <f t="shared" si="2"/>
        <v>0</v>
      </c>
      <c r="L19" s="21">
        <f t="shared" si="4"/>
        <v>0</v>
      </c>
      <c r="M19" s="21">
        <f t="shared" si="5"/>
        <v>0</v>
      </c>
      <c r="N19" s="21">
        <f t="shared" si="6"/>
        <v>0</v>
      </c>
      <c r="O19" s="21">
        <f t="shared" si="7"/>
        <v>0</v>
      </c>
      <c r="P19" s="21">
        <f t="shared" si="8"/>
        <v>0</v>
      </c>
      <c r="Q19" s="21">
        <f t="shared" si="9"/>
        <v>0</v>
      </c>
      <c r="R19" s="21">
        <f t="shared" si="10"/>
        <v>0</v>
      </c>
      <c r="S19" s="21">
        <f t="shared" si="11"/>
        <v>0</v>
      </c>
      <c r="T19" s="21">
        <f t="shared" si="12"/>
        <v>0</v>
      </c>
      <c r="U19" s="21">
        <f t="shared" si="13"/>
        <v>0</v>
      </c>
      <c r="V19" s="21">
        <f t="shared" si="14"/>
        <v>0</v>
      </c>
      <c r="W19" s="21">
        <f t="shared" si="15"/>
        <v>0</v>
      </c>
    </row>
    <row r="20" spans="1:23" x14ac:dyDescent="0.25">
      <c r="A20" s="91">
        <v>6</v>
      </c>
      <c r="B20" s="91"/>
      <c r="C20" s="91"/>
      <c r="D20" s="91"/>
      <c r="E20" s="91"/>
      <c r="F20" s="92"/>
      <c r="G20" s="21">
        <f t="shared" si="0"/>
        <v>0</v>
      </c>
      <c r="H20" s="93">
        <f t="shared" si="1"/>
        <v>0</v>
      </c>
      <c r="I20" s="21">
        <f t="shared" si="3"/>
        <v>0</v>
      </c>
      <c r="J20" s="21">
        <f t="shared" si="16"/>
        <v>0</v>
      </c>
      <c r="K20" s="21">
        <f t="shared" si="2"/>
        <v>0</v>
      </c>
      <c r="L20" s="21">
        <f t="shared" si="4"/>
        <v>0</v>
      </c>
      <c r="M20" s="21">
        <f t="shared" si="5"/>
        <v>0</v>
      </c>
      <c r="N20" s="21">
        <f t="shared" si="6"/>
        <v>0</v>
      </c>
      <c r="O20" s="21">
        <f t="shared" si="7"/>
        <v>0</v>
      </c>
      <c r="P20" s="21">
        <f t="shared" si="8"/>
        <v>0</v>
      </c>
      <c r="Q20" s="21">
        <f t="shared" si="9"/>
        <v>0</v>
      </c>
      <c r="R20" s="21">
        <f t="shared" si="10"/>
        <v>0</v>
      </c>
      <c r="S20" s="21">
        <f t="shared" si="11"/>
        <v>0</v>
      </c>
      <c r="T20" s="21">
        <f t="shared" si="12"/>
        <v>0</v>
      </c>
      <c r="U20" s="21">
        <f t="shared" si="13"/>
        <v>0</v>
      </c>
      <c r="V20" s="21">
        <f t="shared" si="14"/>
        <v>0</v>
      </c>
      <c r="W20" s="21">
        <f t="shared" si="15"/>
        <v>0</v>
      </c>
    </row>
    <row r="21" spans="1:23" x14ac:dyDescent="0.25">
      <c r="A21" s="91">
        <v>7</v>
      </c>
      <c r="B21" s="91"/>
      <c r="C21" s="91"/>
      <c r="D21" s="91"/>
      <c r="E21" s="91"/>
      <c r="F21" s="92"/>
      <c r="G21" s="21">
        <f t="shared" si="0"/>
        <v>0</v>
      </c>
      <c r="H21" s="93">
        <f t="shared" si="1"/>
        <v>0</v>
      </c>
      <c r="I21" s="21">
        <f t="shared" si="3"/>
        <v>0</v>
      </c>
      <c r="J21" s="21">
        <f t="shared" si="16"/>
        <v>0</v>
      </c>
      <c r="K21" s="21">
        <f t="shared" si="2"/>
        <v>0</v>
      </c>
      <c r="L21" s="21">
        <f t="shared" si="4"/>
        <v>0</v>
      </c>
      <c r="M21" s="21">
        <f t="shared" si="5"/>
        <v>0</v>
      </c>
      <c r="N21" s="21">
        <f t="shared" si="6"/>
        <v>0</v>
      </c>
      <c r="O21" s="21">
        <f t="shared" si="7"/>
        <v>0</v>
      </c>
      <c r="P21" s="21">
        <f t="shared" si="8"/>
        <v>0</v>
      </c>
      <c r="Q21" s="21">
        <f t="shared" si="9"/>
        <v>0</v>
      </c>
      <c r="R21" s="21">
        <f t="shared" si="10"/>
        <v>0</v>
      </c>
      <c r="S21" s="21">
        <f t="shared" si="11"/>
        <v>0</v>
      </c>
      <c r="T21" s="21">
        <f t="shared" si="12"/>
        <v>0</v>
      </c>
      <c r="U21" s="21">
        <f t="shared" si="13"/>
        <v>0</v>
      </c>
      <c r="V21" s="21">
        <f t="shared" si="14"/>
        <v>0</v>
      </c>
      <c r="W21" s="21">
        <f t="shared" si="15"/>
        <v>0</v>
      </c>
    </row>
    <row r="22" spans="1:23" x14ac:dyDescent="0.25">
      <c r="A22" s="91">
        <v>8</v>
      </c>
      <c r="B22" s="91"/>
      <c r="C22" s="91"/>
      <c r="D22" s="91"/>
      <c r="E22" s="91"/>
      <c r="F22" s="92"/>
      <c r="G22" s="21">
        <f t="shared" si="0"/>
        <v>0</v>
      </c>
      <c r="H22" s="93">
        <f t="shared" si="1"/>
        <v>0</v>
      </c>
      <c r="I22" s="21">
        <f t="shared" si="3"/>
        <v>0</v>
      </c>
      <c r="J22" s="21">
        <f t="shared" si="16"/>
        <v>0</v>
      </c>
      <c r="K22" s="21">
        <f t="shared" si="2"/>
        <v>0</v>
      </c>
      <c r="L22" s="21">
        <f t="shared" si="4"/>
        <v>0</v>
      </c>
      <c r="M22" s="21">
        <f t="shared" si="5"/>
        <v>0</v>
      </c>
      <c r="N22" s="21">
        <f t="shared" si="6"/>
        <v>0</v>
      </c>
      <c r="O22" s="21">
        <f t="shared" si="7"/>
        <v>0</v>
      </c>
      <c r="P22" s="21">
        <f t="shared" si="8"/>
        <v>0</v>
      </c>
      <c r="Q22" s="21">
        <f t="shared" si="9"/>
        <v>0</v>
      </c>
      <c r="R22" s="21">
        <f t="shared" si="10"/>
        <v>0</v>
      </c>
      <c r="S22" s="21">
        <f t="shared" si="11"/>
        <v>0</v>
      </c>
      <c r="T22" s="21">
        <f t="shared" si="12"/>
        <v>0</v>
      </c>
      <c r="U22" s="21">
        <f t="shared" si="13"/>
        <v>0</v>
      </c>
      <c r="V22" s="21">
        <f t="shared" si="14"/>
        <v>0</v>
      </c>
      <c r="W22" s="21">
        <f t="shared" si="15"/>
        <v>0</v>
      </c>
    </row>
    <row r="23" spans="1:23" x14ac:dyDescent="0.25">
      <c r="A23" s="91">
        <v>9</v>
      </c>
      <c r="B23" s="91"/>
      <c r="C23" s="91"/>
      <c r="D23" s="91"/>
      <c r="E23" s="91"/>
      <c r="F23" s="92"/>
      <c r="G23" s="21">
        <f t="shared" si="0"/>
        <v>0</v>
      </c>
      <c r="H23" s="93">
        <f t="shared" si="1"/>
        <v>0</v>
      </c>
      <c r="I23" s="21">
        <f t="shared" si="3"/>
        <v>0</v>
      </c>
      <c r="J23" s="21">
        <f t="shared" si="16"/>
        <v>0</v>
      </c>
      <c r="K23" s="21">
        <f t="shared" si="2"/>
        <v>0</v>
      </c>
      <c r="L23" s="21">
        <f t="shared" si="4"/>
        <v>0</v>
      </c>
      <c r="M23" s="21">
        <f t="shared" si="5"/>
        <v>0</v>
      </c>
      <c r="N23" s="21">
        <f t="shared" si="6"/>
        <v>0</v>
      </c>
      <c r="O23" s="21">
        <f t="shared" si="7"/>
        <v>0</v>
      </c>
      <c r="P23" s="21">
        <f t="shared" si="8"/>
        <v>0</v>
      </c>
      <c r="Q23" s="21">
        <f t="shared" si="9"/>
        <v>0</v>
      </c>
      <c r="R23" s="21">
        <f t="shared" si="10"/>
        <v>0</v>
      </c>
      <c r="S23" s="21">
        <f t="shared" si="11"/>
        <v>0</v>
      </c>
      <c r="T23" s="21">
        <f t="shared" si="12"/>
        <v>0</v>
      </c>
      <c r="U23" s="21">
        <f t="shared" si="13"/>
        <v>0</v>
      </c>
      <c r="V23" s="21">
        <f t="shared" si="14"/>
        <v>0</v>
      </c>
      <c r="W23" s="21">
        <f t="shared" si="15"/>
        <v>0</v>
      </c>
    </row>
    <row r="24" spans="1:23" x14ac:dyDescent="0.25">
      <c r="A24" s="91">
        <v>10</v>
      </c>
      <c r="B24" s="91"/>
      <c r="C24" s="91"/>
      <c r="D24" s="91"/>
      <c r="E24" s="91"/>
      <c r="F24" s="92"/>
      <c r="G24" s="21">
        <f t="shared" si="0"/>
        <v>0</v>
      </c>
      <c r="H24" s="93">
        <f t="shared" si="1"/>
        <v>0</v>
      </c>
      <c r="I24" s="21">
        <f t="shared" si="3"/>
        <v>0</v>
      </c>
      <c r="J24" s="21">
        <f t="shared" si="16"/>
        <v>0</v>
      </c>
      <c r="K24" s="21">
        <f t="shared" si="2"/>
        <v>0</v>
      </c>
      <c r="L24" s="21">
        <f t="shared" si="4"/>
        <v>0</v>
      </c>
      <c r="M24" s="21">
        <f t="shared" si="5"/>
        <v>0</v>
      </c>
      <c r="N24" s="21">
        <f t="shared" si="6"/>
        <v>0</v>
      </c>
      <c r="O24" s="21">
        <f t="shared" si="7"/>
        <v>0</v>
      </c>
      <c r="P24" s="21">
        <f t="shared" si="8"/>
        <v>0</v>
      </c>
      <c r="Q24" s="21">
        <f t="shared" si="9"/>
        <v>0</v>
      </c>
      <c r="R24" s="21">
        <f t="shared" si="10"/>
        <v>0</v>
      </c>
      <c r="S24" s="21">
        <f t="shared" si="11"/>
        <v>0</v>
      </c>
      <c r="T24" s="21">
        <f t="shared" si="12"/>
        <v>0</v>
      </c>
      <c r="U24" s="21">
        <f t="shared" si="13"/>
        <v>0</v>
      </c>
      <c r="V24" s="21">
        <f t="shared" si="14"/>
        <v>0</v>
      </c>
      <c r="W24" s="21">
        <f t="shared" si="15"/>
        <v>0</v>
      </c>
    </row>
    <row r="25" spans="1:23" x14ac:dyDescent="0.25">
      <c r="A25" s="91">
        <v>11</v>
      </c>
      <c r="B25" s="91"/>
      <c r="C25" s="91"/>
      <c r="D25" s="91"/>
      <c r="E25" s="91"/>
      <c r="F25" s="92"/>
      <c r="G25" s="21">
        <f t="shared" si="0"/>
        <v>0</v>
      </c>
      <c r="H25" s="93">
        <f t="shared" si="1"/>
        <v>0</v>
      </c>
      <c r="I25" s="21">
        <f t="shared" si="3"/>
        <v>0</v>
      </c>
      <c r="J25" s="21">
        <f t="shared" si="16"/>
        <v>0</v>
      </c>
      <c r="K25" s="21">
        <f t="shared" si="2"/>
        <v>0</v>
      </c>
      <c r="L25" s="21">
        <f t="shared" si="4"/>
        <v>0</v>
      </c>
      <c r="M25" s="21">
        <f t="shared" si="5"/>
        <v>0</v>
      </c>
      <c r="N25" s="21">
        <f t="shared" si="6"/>
        <v>0</v>
      </c>
      <c r="O25" s="21">
        <f t="shared" si="7"/>
        <v>0</v>
      </c>
      <c r="P25" s="21">
        <f t="shared" si="8"/>
        <v>0</v>
      </c>
      <c r="Q25" s="21">
        <f t="shared" si="9"/>
        <v>0</v>
      </c>
      <c r="R25" s="21">
        <f t="shared" si="10"/>
        <v>0</v>
      </c>
      <c r="S25" s="21">
        <f t="shared" si="11"/>
        <v>0</v>
      </c>
      <c r="T25" s="21">
        <f t="shared" si="12"/>
        <v>0</v>
      </c>
      <c r="U25" s="21">
        <f t="shared" si="13"/>
        <v>0</v>
      </c>
      <c r="V25" s="21">
        <f t="shared" si="14"/>
        <v>0</v>
      </c>
      <c r="W25" s="21">
        <f t="shared" si="15"/>
        <v>0</v>
      </c>
    </row>
    <row r="26" spans="1:23" x14ac:dyDescent="0.25">
      <c r="A26" s="91">
        <v>12</v>
      </c>
      <c r="B26" s="91"/>
      <c r="C26" s="91"/>
      <c r="D26" s="91"/>
      <c r="E26" s="91"/>
      <c r="F26" s="92"/>
      <c r="G26" s="21">
        <f t="shared" si="0"/>
        <v>0</v>
      </c>
      <c r="H26" s="93">
        <f t="shared" si="1"/>
        <v>0</v>
      </c>
      <c r="I26" s="21">
        <f t="shared" si="3"/>
        <v>0</v>
      </c>
      <c r="J26" s="21">
        <f t="shared" si="16"/>
        <v>0</v>
      </c>
      <c r="K26" s="21">
        <f t="shared" si="2"/>
        <v>0</v>
      </c>
      <c r="L26" s="21">
        <f t="shared" si="4"/>
        <v>0</v>
      </c>
      <c r="M26" s="21">
        <f t="shared" si="5"/>
        <v>0</v>
      </c>
      <c r="N26" s="21">
        <f t="shared" si="6"/>
        <v>0</v>
      </c>
      <c r="O26" s="21">
        <f t="shared" si="7"/>
        <v>0</v>
      </c>
      <c r="P26" s="21">
        <f t="shared" si="8"/>
        <v>0</v>
      </c>
      <c r="Q26" s="21">
        <f t="shared" si="9"/>
        <v>0</v>
      </c>
      <c r="R26" s="21">
        <f t="shared" si="10"/>
        <v>0</v>
      </c>
      <c r="S26" s="21">
        <f t="shared" si="11"/>
        <v>0</v>
      </c>
      <c r="T26" s="21">
        <f t="shared" si="12"/>
        <v>0</v>
      </c>
      <c r="U26" s="21">
        <f t="shared" si="13"/>
        <v>0</v>
      </c>
      <c r="V26" s="21">
        <f t="shared" si="14"/>
        <v>0</v>
      </c>
      <c r="W26" s="21">
        <f t="shared" si="15"/>
        <v>0</v>
      </c>
    </row>
    <row r="27" spans="1:23" s="95" customFormat="1" ht="14.25" x14ac:dyDescent="0.2">
      <c r="A27" s="319" t="s">
        <v>73</v>
      </c>
      <c r="B27" s="320"/>
      <c r="C27" s="105"/>
      <c r="D27" s="105"/>
      <c r="E27" s="94">
        <f>SUM(E15:E26)</f>
        <v>0</v>
      </c>
      <c r="F27" s="94">
        <f>SUM(F15:F26)</f>
        <v>0</v>
      </c>
      <c r="G27" s="94">
        <f>SUM(G15:G26)</f>
        <v>0</v>
      </c>
      <c r="H27" s="94"/>
      <c r="I27" s="94">
        <f>SUM(I15:I26)</f>
        <v>0</v>
      </c>
      <c r="J27" s="94">
        <f>SUM(J15:J26)</f>
        <v>0</v>
      </c>
      <c r="K27" s="94"/>
      <c r="L27" s="94">
        <f t="shared" ref="L27:W27" si="17">SUM(L15:L26)</f>
        <v>0</v>
      </c>
      <c r="M27" s="94">
        <f t="shared" si="17"/>
        <v>0</v>
      </c>
      <c r="N27" s="94">
        <f t="shared" si="17"/>
        <v>0</v>
      </c>
      <c r="O27" s="94">
        <f t="shared" si="17"/>
        <v>0</v>
      </c>
      <c r="P27" s="94">
        <f t="shared" si="17"/>
        <v>0</v>
      </c>
      <c r="Q27" s="94">
        <f t="shared" si="17"/>
        <v>0</v>
      </c>
      <c r="R27" s="94">
        <f t="shared" si="17"/>
        <v>0</v>
      </c>
      <c r="S27" s="94">
        <f t="shared" si="17"/>
        <v>0</v>
      </c>
      <c r="T27" s="94">
        <f t="shared" si="17"/>
        <v>0</v>
      </c>
      <c r="U27" s="94">
        <f t="shared" si="17"/>
        <v>0</v>
      </c>
      <c r="V27" s="94">
        <f t="shared" si="17"/>
        <v>0</v>
      </c>
      <c r="W27" s="94">
        <f t="shared" si="17"/>
        <v>0</v>
      </c>
    </row>
    <row r="28" spans="1:23" x14ac:dyDescent="0.25">
      <c r="A28" s="42"/>
      <c r="B28" s="42"/>
      <c r="C28" s="43"/>
      <c r="D28" s="43"/>
      <c r="E28" s="43"/>
    </row>
    <row r="29" spans="1:23" x14ac:dyDescent="0.25">
      <c r="A29" s="44" t="s">
        <v>62</v>
      </c>
      <c r="B29" s="37"/>
      <c r="C29"/>
      <c r="D29"/>
      <c r="E29"/>
    </row>
    <row r="30" spans="1:23" x14ac:dyDescent="0.25">
      <c r="A30" s="37"/>
      <c r="B30" s="37"/>
      <c r="C30"/>
      <c r="D30"/>
      <c r="E30"/>
    </row>
    <row r="31" spans="1:23" x14ac:dyDescent="0.25">
      <c r="A31" s="42"/>
      <c r="B31" s="42"/>
      <c r="C31" s="43"/>
      <c r="D31" s="43"/>
      <c r="E31" s="43"/>
    </row>
    <row r="32" spans="1:23" x14ac:dyDescent="0.25">
      <c r="A32" s="44" t="s">
        <v>63</v>
      </c>
      <c r="B32" s="37"/>
      <c r="C32"/>
      <c r="D32"/>
      <c r="E32"/>
    </row>
    <row r="33" spans="1:5" x14ac:dyDescent="0.25">
      <c r="A33" s="37"/>
      <c r="B33" s="37"/>
      <c r="C33"/>
      <c r="D33"/>
      <c r="E33"/>
    </row>
    <row r="34" spans="1:5" x14ac:dyDescent="0.25">
      <c r="A34" s="42"/>
      <c r="B34" s="42"/>
      <c r="C34" s="43"/>
      <c r="D34" s="43"/>
      <c r="E34" s="43"/>
    </row>
    <row r="35" spans="1:5" x14ac:dyDescent="0.25">
      <c r="A35" s="44" t="s">
        <v>74</v>
      </c>
      <c r="B35" s="37"/>
      <c r="C35"/>
      <c r="D35"/>
      <c r="E35"/>
    </row>
    <row r="36" spans="1:5" x14ac:dyDescent="0.25">
      <c r="A36" s="37"/>
      <c r="B36" s="37"/>
      <c r="C36"/>
      <c r="D36"/>
      <c r="E36"/>
    </row>
    <row r="37" spans="1:5" x14ac:dyDescent="0.25">
      <c r="A37" s="42"/>
      <c r="B37" s="42"/>
      <c r="C37" s="43"/>
      <c r="D37" s="49"/>
      <c r="E37"/>
    </row>
    <row r="38" spans="1:5" x14ac:dyDescent="0.25">
      <c r="A38" s="44" t="s">
        <v>64</v>
      </c>
      <c r="B38" s="37"/>
      <c r="C38"/>
      <c r="D38"/>
      <c r="E38"/>
    </row>
    <row r="39" spans="1:5" x14ac:dyDescent="0.25">
      <c r="A39" s="49"/>
      <c r="B39" s="49"/>
      <c r="C39" s="49"/>
      <c r="D39" s="49"/>
      <c r="E39" s="49"/>
    </row>
  </sheetData>
  <mergeCells count="8">
    <mergeCell ref="V14:W14"/>
    <mergeCell ref="A27:B27"/>
    <mergeCell ref="A10:G10"/>
    <mergeCell ref="L14:M14"/>
    <mergeCell ref="N14:O14"/>
    <mergeCell ref="P14:Q14"/>
    <mergeCell ref="R14:S14"/>
    <mergeCell ref="T14:U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T16"/>
  <sheetViews>
    <sheetView workbookViewId="0">
      <selection activeCell="J3" sqref="J3"/>
    </sheetView>
  </sheetViews>
  <sheetFormatPr defaultRowHeight="12.75" x14ac:dyDescent="0.2"/>
  <cols>
    <col min="9" max="9" width="12" bestFit="1" customWidth="1"/>
    <col min="10" max="10" width="9.28515625" customWidth="1"/>
  </cols>
  <sheetData>
    <row r="1" spans="1:20" ht="140.25" x14ac:dyDescent="0.2">
      <c r="A1" s="58" t="s">
        <v>69</v>
      </c>
      <c r="B1" s="39" t="s">
        <v>138</v>
      </c>
      <c r="C1" s="39" t="s">
        <v>140</v>
      </c>
      <c r="D1" s="39" t="s">
        <v>185</v>
      </c>
      <c r="E1" s="39" t="s">
        <v>78</v>
      </c>
      <c r="F1" s="39" t="s">
        <v>183</v>
      </c>
      <c r="G1" s="39" t="s">
        <v>184</v>
      </c>
      <c r="H1" s="39" t="s">
        <v>139</v>
      </c>
      <c r="I1" s="39" t="s">
        <v>186</v>
      </c>
      <c r="J1" s="39" t="s">
        <v>212</v>
      </c>
      <c r="K1" s="39" t="s">
        <v>186</v>
      </c>
      <c r="L1" s="39" t="s">
        <v>212</v>
      </c>
      <c r="M1" s="39" t="s">
        <v>186</v>
      </c>
      <c r="N1" s="39" t="s">
        <v>212</v>
      </c>
      <c r="O1" s="39" t="s">
        <v>186</v>
      </c>
      <c r="P1" s="39" t="s">
        <v>212</v>
      </c>
      <c r="Q1" s="39" t="s">
        <v>186</v>
      </c>
      <c r="R1" s="39" t="s">
        <v>212</v>
      </c>
      <c r="S1" s="39" t="s">
        <v>186</v>
      </c>
      <c r="T1" s="39" t="s">
        <v>212</v>
      </c>
    </row>
    <row r="2" spans="1:20" ht="15" x14ac:dyDescent="0.25">
      <c r="A2" s="58"/>
      <c r="B2" s="39"/>
      <c r="C2" s="39"/>
      <c r="D2" s="39"/>
      <c r="E2" s="58"/>
      <c r="F2" s="58"/>
      <c r="G2" s="39"/>
      <c r="H2" s="39"/>
      <c r="I2" s="124" t="str">
        <f>IF('№ 910 Декларация '!L12=1,"январь","июль")</f>
        <v>январь</v>
      </c>
      <c r="J2" s="127" t="str">
        <f>I2</f>
        <v>январь</v>
      </c>
      <c r="K2" s="124" t="str">
        <f>IF('№ 910 Декларация '!L12=1,"февраль","август")</f>
        <v>февраль</v>
      </c>
      <c r="L2" s="127" t="str">
        <f>K2</f>
        <v>февраль</v>
      </c>
      <c r="M2" s="124" t="str">
        <f>IF('№ 910 Декларация '!L12=1,"март","сентябрь")</f>
        <v>март</v>
      </c>
      <c r="N2" s="127" t="str">
        <f>M2</f>
        <v>март</v>
      </c>
      <c r="O2" s="124" t="str">
        <f>IF('№ 910 Декларация '!L12=1,"апрель","октябрь")</f>
        <v>апрель</v>
      </c>
      <c r="P2" s="127" t="str">
        <f>O2</f>
        <v>апрель</v>
      </c>
      <c r="Q2" s="124" t="str">
        <f>IF('№ 910 Декларация '!L12=1,"май","ноябрь")</f>
        <v>май</v>
      </c>
      <c r="R2" s="127" t="str">
        <f>Q2</f>
        <v>май</v>
      </c>
      <c r="S2" s="124" t="str">
        <f>IF('№ 910 Декларация '!L12=1,"июнь","декабрь")</f>
        <v>июнь</v>
      </c>
      <c r="T2" s="127" t="str">
        <f>S2</f>
        <v>июнь</v>
      </c>
    </row>
    <row r="3" spans="1:20" ht="15" x14ac:dyDescent="0.25">
      <c r="A3" s="149">
        <v>1</v>
      </c>
      <c r="B3" s="149">
        <f>'№3 договора ГПХ'!B15</f>
        <v>0</v>
      </c>
      <c r="C3" s="149">
        <f>'№3 договора ГПХ'!D15</f>
        <v>0</v>
      </c>
      <c r="D3" s="149">
        <f>'№3 договора ГПХ'!E15</f>
        <v>0</v>
      </c>
      <c r="E3" s="92"/>
      <c r="F3" s="21">
        <f>IF(C3=3,0,D3-E3)</f>
        <v>0</v>
      </c>
      <c r="G3" s="93">
        <f>IF(D3&lt;=0,0,10%)</f>
        <v>0</v>
      </c>
      <c r="H3" s="21">
        <f t="shared" ref="H3:H14" si="0">IF(C3&gt;6,C3-6,C3)</f>
        <v>0</v>
      </c>
      <c r="I3" s="23">
        <f>IF($H3=1,F3*G3,0)</f>
        <v>0</v>
      </c>
      <c r="J3" s="23">
        <f>IF($C3=1,$F3*введение!C$22,0)</f>
        <v>0</v>
      </c>
      <c r="K3" s="23">
        <f>IF($H3=2,F3*G3,0)</f>
        <v>0</v>
      </c>
      <c r="L3" s="23">
        <f>IF($C3=2,$F3*введение!C$22,0)</f>
        <v>0</v>
      </c>
      <c r="M3" s="23">
        <f>IF($H3=3,F3*G3,0)</f>
        <v>0</v>
      </c>
      <c r="N3" s="23">
        <f>IF($C3=3,$F3*введение!C$22,0)</f>
        <v>0</v>
      </c>
      <c r="O3" s="23">
        <f>IF($H3=4,F3*G3,0)</f>
        <v>0</v>
      </c>
      <c r="P3" s="23">
        <f>IF($C3=4,$F3*введение!C$22,0)</f>
        <v>0</v>
      </c>
      <c r="Q3" s="23">
        <f>IF($H3=5,F3*G3,0)</f>
        <v>0</v>
      </c>
      <c r="R3" s="23">
        <f>IF($C3=5,$F3*введение!C$22,0)</f>
        <v>0</v>
      </c>
      <c r="S3" s="23">
        <f>IF($H3=6,F3*G3,0)</f>
        <v>0</v>
      </c>
      <c r="T3" s="23">
        <f>IF($C3=6,$F3*введение!C$22,0)</f>
        <v>0</v>
      </c>
    </row>
    <row r="4" spans="1:20" ht="15" x14ac:dyDescent="0.25">
      <c r="A4" s="149">
        <v>2</v>
      </c>
      <c r="B4" s="149">
        <f>'№3 договора ГПХ'!B16</f>
        <v>0</v>
      </c>
      <c r="C4" s="149">
        <f>'№3 договора ГПХ'!D16</f>
        <v>0</v>
      </c>
      <c r="D4" s="149">
        <f>'№3 договора ГПХ'!E16</f>
        <v>0</v>
      </c>
      <c r="E4" s="92"/>
      <c r="F4" s="21">
        <f t="shared" ref="F4:F14" si="1">IF(C4=3,0,D4-E4)</f>
        <v>0</v>
      </c>
      <c r="G4" s="93">
        <f t="shared" ref="G4:G14" si="2">IF(D4&lt;=0,0,10%)</f>
        <v>0</v>
      </c>
      <c r="H4" s="21">
        <f t="shared" si="0"/>
        <v>0</v>
      </c>
      <c r="I4" s="23">
        <f>IF($H4=1,F4*G4,0)</f>
        <v>0</v>
      </c>
      <c r="J4" s="23">
        <f>IF($C4=1,$F4*введение!C$22,0)</f>
        <v>0</v>
      </c>
      <c r="K4" s="23">
        <f t="shared" ref="K4:K14" si="3">IF($H4=2,F4*G4,0)</f>
        <v>0</v>
      </c>
      <c r="L4" s="23">
        <f>IF($C4=2,$F4*введение!C$22,0)</f>
        <v>0</v>
      </c>
      <c r="M4" s="23">
        <f t="shared" ref="M4:M14" si="4">IF($H4=3,F4*G4,0)</f>
        <v>0</v>
      </c>
      <c r="N4" s="23">
        <f>IF($C4=3,$F4*введение!C$22,0)</f>
        <v>0</v>
      </c>
      <c r="O4" s="23">
        <f t="shared" ref="O4:O14" si="5">IF($H4=4,F4*G4,0)</f>
        <v>0</v>
      </c>
      <c r="P4" s="23">
        <f>IF($C4=4,$F4*введение!C$22,0)</f>
        <v>0</v>
      </c>
      <c r="Q4" s="23">
        <f t="shared" ref="Q4:Q14" si="6">IF($H4=5,F4*G4,0)</f>
        <v>0</v>
      </c>
      <c r="R4" s="23">
        <f>IF($C4=5,$F4*введение!C$22,0)</f>
        <v>0</v>
      </c>
      <c r="S4" s="23">
        <f t="shared" ref="S4:S14" si="7">IF($H4=6,F4*G4,0)</f>
        <v>0</v>
      </c>
      <c r="T4" s="23">
        <f>IF($C4=6,$F4*введение!C$22,0)</f>
        <v>0</v>
      </c>
    </row>
    <row r="5" spans="1:20" ht="15" x14ac:dyDescent="0.25">
      <c r="A5" s="149">
        <v>3</v>
      </c>
      <c r="B5" s="149">
        <f>'№3 договора ГПХ'!B17</f>
        <v>0</v>
      </c>
      <c r="C5" s="149">
        <f>'№3 договора ГПХ'!D17</f>
        <v>0</v>
      </c>
      <c r="D5" s="149">
        <f>'№3 договора ГПХ'!E17</f>
        <v>0</v>
      </c>
      <c r="E5" s="92"/>
      <c r="F5" s="21">
        <f t="shared" si="1"/>
        <v>0</v>
      </c>
      <c r="G5" s="93">
        <f t="shared" si="2"/>
        <v>0</v>
      </c>
      <c r="H5" s="21">
        <f t="shared" si="0"/>
        <v>0</v>
      </c>
      <c r="I5" s="23">
        <f t="shared" ref="I5:I14" si="8">IF($H5=1,F5*G5,0)</f>
        <v>0</v>
      </c>
      <c r="J5" s="23">
        <f>IF($C5=1,$F5*введение!C$22,0)</f>
        <v>0</v>
      </c>
      <c r="K5" s="23">
        <f t="shared" si="3"/>
        <v>0</v>
      </c>
      <c r="L5" s="23">
        <f>IF($C5=2,$F5*введение!C$22,0)</f>
        <v>0</v>
      </c>
      <c r="M5" s="23">
        <f t="shared" si="4"/>
        <v>0</v>
      </c>
      <c r="N5" s="23">
        <f>IF($C5=3,$F5*введение!C$22,0)</f>
        <v>0</v>
      </c>
      <c r="O5" s="23">
        <f t="shared" si="5"/>
        <v>0</v>
      </c>
      <c r="P5" s="23">
        <f>IF($C5=4,$F5*введение!C$22,0)</f>
        <v>0</v>
      </c>
      <c r="Q5" s="23">
        <f t="shared" si="6"/>
        <v>0</v>
      </c>
      <c r="R5" s="23">
        <f>IF($C5=5,$F5*введение!C$22,0)</f>
        <v>0</v>
      </c>
      <c r="S5" s="23">
        <f t="shared" si="7"/>
        <v>0</v>
      </c>
      <c r="T5" s="23">
        <f>IF($C5=6,$F5*введение!C$22,0)</f>
        <v>0</v>
      </c>
    </row>
    <row r="6" spans="1:20" ht="15" x14ac:dyDescent="0.25">
      <c r="A6" s="149">
        <v>4</v>
      </c>
      <c r="B6" s="149">
        <f>'№3 договора ГПХ'!B18</f>
        <v>0</v>
      </c>
      <c r="C6" s="149">
        <f>'№3 договора ГПХ'!D18</f>
        <v>0</v>
      </c>
      <c r="D6" s="149">
        <f>'№3 договора ГПХ'!E18</f>
        <v>0</v>
      </c>
      <c r="E6" s="92"/>
      <c r="F6" s="21">
        <f t="shared" si="1"/>
        <v>0</v>
      </c>
      <c r="G6" s="93">
        <f t="shared" si="2"/>
        <v>0</v>
      </c>
      <c r="H6" s="21">
        <f t="shared" si="0"/>
        <v>0</v>
      </c>
      <c r="I6" s="23">
        <f t="shared" si="8"/>
        <v>0</v>
      </c>
      <c r="J6" s="23">
        <f>IF($C6=1,$F6*введение!C$22,0)</f>
        <v>0</v>
      </c>
      <c r="K6" s="23">
        <f t="shared" si="3"/>
        <v>0</v>
      </c>
      <c r="L6" s="23">
        <f>IF($C6=2,$F6*введение!C$22,0)</f>
        <v>0</v>
      </c>
      <c r="M6" s="23">
        <f t="shared" si="4"/>
        <v>0</v>
      </c>
      <c r="N6" s="23">
        <f>IF($C6=3,$F6*введение!C$22,0)</f>
        <v>0</v>
      </c>
      <c r="O6" s="23">
        <f t="shared" si="5"/>
        <v>0</v>
      </c>
      <c r="P6" s="23">
        <f>IF($C6=4,$F6*введение!C$22,0)</f>
        <v>0</v>
      </c>
      <c r="Q6" s="23">
        <f t="shared" si="6"/>
        <v>0</v>
      </c>
      <c r="R6" s="23">
        <f>IF($C6=5,$F6*введение!C$22,0)</f>
        <v>0</v>
      </c>
      <c r="S6" s="23">
        <f t="shared" si="7"/>
        <v>0</v>
      </c>
      <c r="T6" s="23">
        <f>IF($C6=6,$F6*введение!C$22,0)</f>
        <v>0</v>
      </c>
    </row>
    <row r="7" spans="1:20" ht="15" x14ac:dyDescent="0.25">
      <c r="A7" s="149">
        <v>5</v>
      </c>
      <c r="B7" s="149">
        <f>'№3 договора ГПХ'!B19</f>
        <v>0</v>
      </c>
      <c r="C7" s="149">
        <f>'№3 договора ГПХ'!D19</f>
        <v>0</v>
      </c>
      <c r="D7" s="149">
        <f>'№3 договора ГПХ'!E19</f>
        <v>0</v>
      </c>
      <c r="E7" s="92"/>
      <c r="F7" s="21">
        <f t="shared" si="1"/>
        <v>0</v>
      </c>
      <c r="G7" s="93">
        <f t="shared" si="2"/>
        <v>0</v>
      </c>
      <c r="H7" s="21">
        <f t="shared" si="0"/>
        <v>0</v>
      </c>
      <c r="I7" s="23">
        <f t="shared" si="8"/>
        <v>0</v>
      </c>
      <c r="J7" s="23">
        <f>IF($C7=1,$F7*введение!C$22,0)</f>
        <v>0</v>
      </c>
      <c r="K7" s="23">
        <f t="shared" si="3"/>
        <v>0</v>
      </c>
      <c r="L7" s="23">
        <f>IF($C7=2,$F7*введение!C$22,0)</f>
        <v>0</v>
      </c>
      <c r="M7" s="23">
        <f t="shared" si="4"/>
        <v>0</v>
      </c>
      <c r="N7" s="23">
        <f>IF($C7=3,$F7*введение!C$22,0)</f>
        <v>0</v>
      </c>
      <c r="O7" s="23">
        <f t="shared" si="5"/>
        <v>0</v>
      </c>
      <c r="P7" s="23">
        <f>IF($C7=4,$F7*введение!C$22,0)</f>
        <v>0</v>
      </c>
      <c r="Q7" s="23">
        <f t="shared" si="6"/>
        <v>0</v>
      </c>
      <c r="R7" s="23">
        <f>IF($C7=5,$F7*введение!C$22,0)</f>
        <v>0</v>
      </c>
      <c r="S7" s="23">
        <f t="shared" si="7"/>
        <v>0</v>
      </c>
      <c r="T7" s="23">
        <f>IF($C7=6,$F7*введение!C$22,0)</f>
        <v>0</v>
      </c>
    </row>
    <row r="8" spans="1:20" ht="15" x14ac:dyDescent="0.25">
      <c r="A8" s="149">
        <v>6</v>
      </c>
      <c r="B8" s="149">
        <f>'№3 договора ГПХ'!B20</f>
        <v>0</v>
      </c>
      <c r="C8" s="149">
        <f>'№3 договора ГПХ'!D20</f>
        <v>0</v>
      </c>
      <c r="D8" s="149">
        <f>'№3 договора ГПХ'!E20</f>
        <v>0</v>
      </c>
      <c r="E8" s="92"/>
      <c r="F8" s="21">
        <f t="shared" si="1"/>
        <v>0</v>
      </c>
      <c r="G8" s="93">
        <f t="shared" si="2"/>
        <v>0</v>
      </c>
      <c r="H8" s="21">
        <f t="shared" si="0"/>
        <v>0</v>
      </c>
      <c r="I8" s="23">
        <f t="shared" si="8"/>
        <v>0</v>
      </c>
      <c r="J8" s="23">
        <f>IF($C8=1,$F8*введение!C$22,0)</f>
        <v>0</v>
      </c>
      <c r="K8" s="23">
        <f t="shared" si="3"/>
        <v>0</v>
      </c>
      <c r="L8" s="23">
        <f>IF($C8=2,$F8*введение!C$22,0)</f>
        <v>0</v>
      </c>
      <c r="M8" s="23">
        <f t="shared" si="4"/>
        <v>0</v>
      </c>
      <c r="N8" s="23">
        <f>IF($C8=3,$F8*введение!C$22,0)</f>
        <v>0</v>
      </c>
      <c r="O8" s="23">
        <f t="shared" si="5"/>
        <v>0</v>
      </c>
      <c r="P8" s="23">
        <f>IF($C8=4,$F8*введение!C$22,0)</f>
        <v>0</v>
      </c>
      <c r="Q8" s="23">
        <f t="shared" si="6"/>
        <v>0</v>
      </c>
      <c r="R8" s="23">
        <f>IF($C8=5,$F8*введение!C$22,0)</f>
        <v>0</v>
      </c>
      <c r="S8" s="23">
        <f t="shared" si="7"/>
        <v>0</v>
      </c>
      <c r="T8" s="23">
        <f>IF($C8=6,$F8*введение!C$22,0)</f>
        <v>0</v>
      </c>
    </row>
    <row r="9" spans="1:20" ht="15" x14ac:dyDescent="0.25">
      <c r="A9" s="149">
        <v>7</v>
      </c>
      <c r="B9" s="149">
        <f>'№3 договора ГПХ'!B21</f>
        <v>0</v>
      </c>
      <c r="C9" s="149">
        <f>'№3 договора ГПХ'!D21</f>
        <v>0</v>
      </c>
      <c r="D9" s="149">
        <f>'№3 договора ГПХ'!E21</f>
        <v>0</v>
      </c>
      <c r="E9" s="92"/>
      <c r="F9" s="21">
        <f t="shared" si="1"/>
        <v>0</v>
      </c>
      <c r="G9" s="93">
        <f t="shared" si="2"/>
        <v>0</v>
      </c>
      <c r="H9" s="21">
        <f t="shared" si="0"/>
        <v>0</v>
      </c>
      <c r="I9" s="23">
        <f t="shared" si="8"/>
        <v>0</v>
      </c>
      <c r="J9" s="23">
        <f>IF($C9=1,$F9*введение!C$22,0)</f>
        <v>0</v>
      </c>
      <c r="K9" s="23">
        <f t="shared" si="3"/>
        <v>0</v>
      </c>
      <c r="L9" s="23">
        <f>IF($C9=2,$F9*введение!C$22,0)</f>
        <v>0</v>
      </c>
      <c r="M9" s="23">
        <f t="shared" si="4"/>
        <v>0</v>
      </c>
      <c r="N9" s="23">
        <f>IF($C9=3,$F9*введение!C$22,0)</f>
        <v>0</v>
      </c>
      <c r="O9" s="23">
        <f t="shared" si="5"/>
        <v>0</v>
      </c>
      <c r="P9" s="23">
        <f>IF($C9=4,$F9*введение!C$22,0)</f>
        <v>0</v>
      </c>
      <c r="Q9" s="23">
        <f t="shared" si="6"/>
        <v>0</v>
      </c>
      <c r="R9" s="23">
        <f>IF($C9=5,$F9*введение!C$22,0)</f>
        <v>0</v>
      </c>
      <c r="S9" s="23">
        <f t="shared" si="7"/>
        <v>0</v>
      </c>
      <c r="T9" s="23">
        <f>IF($C9=6,$F9*введение!C$22,0)</f>
        <v>0</v>
      </c>
    </row>
    <row r="10" spans="1:20" ht="15" x14ac:dyDescent="0.25">
      <c r="A10" s="149">
        <v>8</v>
      </c>
      <c r="B10" s="149">
        <f>'№3 договора ГПХ'!B22</f>
        <v>0</v>
      </c>
      <c r="C10" s="149">
        <f>'№3 договора ГПХ'!D22</f>
        <v>0</v>
      </c>
      <c r="D10" s="149">
        <f>'№3 договора ГПХ'!E22</f>
        <v>0</v>
      </c>
      <c r="E10" s="92"/>
      <c r="F10" s="21">
        <f t="shared" si="1"/>
        <v>0</v>
      </c>
      <c r="G10" s="93">
        <f t="shared" si="2"/>
        <v>0</v>
      </c>
      <c r="H10" s="21">
        <f t="shared" si="0"/>
        <v>0</v>
      </c>
      <c r="I10" s="23">
        <f t="shared" si="8"/>
        <v>0</v>
      </c>
      <c r="J10" s="23">
        <f>IF($C10=1,$F10*введение!C$22,0)</f>
        <v>0</v>
      </c>
      <c r="K10" s="23">
        <f t="shared" si="3"/>
        <v>0</v>
      </c>
      <c r="L10" s="23">
        <f>IF($C10=2,$F10*введение!C$22,0)</f>
        <v>0</v>
      </c>
      <c r="M10" s="23">
        <f t="shared" si="4"/>
        <v>0</v>
      </c>
      <c r="N10" s="23">
        <f>IF($C10=3,$F10*введение!C$22,0)</f>
        <v>0</v>
      </c>
      <c r="O10" s="23">
        <f t="shared" si="5"/>
        <v>0</v>
      </c>
      <c r="P10" s="23">
        <f>IF($C10=4,$F10*введение!C$22,0)</f>
        <v>0</v>
      </c>
      <c r="Q10" s="23">
        <f t="shared" si="6"/>
        <v>0</v>
      </c>
      <c r="R10" s="23">
        <f>IF($C10=5,$F10*введение!C$22,0)</f>
        <v>0</v>
      </c>
      <c r="S10" s="23">
        <f t="shared" si="7"/>
        <v>0</v>
      </c>
      <c r="T10" s="23">
        <f>IF($C10=6,$F10*введение!C$22,0)</f>
        <v>0</v>
      </c>
    </row>
    <row r="11" spans="1:20" ht="15" x14ac:dyDescent="0.25">
      <c r="A11" s="149">
        <v>9</v>
      </c>
      <c r="B11" s="149">
        <f>'№3 договора ГПХ'!B23</f>
        <v>0</v>
      </c>
      <c r="C11" s="149">
        <f>'№3 договора ГПХ'!D23</f>
        <v>0</v>
      </c>
      <c r="D11" s="149">
        <f>'№3 договора ГПХ'!E23</f>
        <v>0</v>
      </c>
      <c r="E11" s="92"/>
      <c r="F11" s="21">
        <f t="shared" si="1"/>
        <v>0</v>
      </c>
      <c r="G11" s="93">
        <f t="shared" si="2"/>
        <v>0</v>
      </c>
      <c r="H11" s="21">
        <f t="shared" si="0"/>
        <v>0</v>
      </c>
      <c r="I11" s="23">
        <f t="shared" si="8"/>
        <v>0</v>
      </c>
      <c r="J11" s="23">
        <f>IF($C11=1,$F11*введение!C$22,0)</f>
        <v>0</v>
      </c>
      <c r="K11" s="23">
        <f t="shared" si="3"/>
        <v>0</v>
      </c>
      <c r="L11" s="23">
        <f>IF($C11=2,$F11*введение!C$22,0)</f>
        <v>0</v>
      </c>
      <c r="M11" s="23">
        <f t="shared" si="4"/>
        <v>0</v>
      </c>
      <c r="N11" s="23">
        <f>IF($C11=3,$F11*введение!C$22,0)</f>
        <v>0</v>
      </c>
      <c r="O11" s="23">
        <f t="shared" si="5"/>
        <v>0</v>
      </c>
      <c r="P11" s="23">
        <f>IF($C11=4,$F11*введение!C$22,0)</f>
        <v>0</v>
      </c>
      <c r="Q11" s="23">
        <f t="shared" si="6"/>
        <v>0</v>
      </c>
      <c r="R11" s="23">
        <f>IF($C11=5,$F11*введение!C$22,0)</f>
        <v>0</v>
      </c>
      <c r="S11" s="23">
        <f t="shared" si="7"/>
        <v>0</v>
      </c>
      <c r="T11" s="23">
        <f>IF($C11=6,$F11*введение!C$22,0)</f>
        <v>0</v>
      </c>
    </row>
    <row r="12" spans="1:20" ht="15" x14ac:dyDescent="0.25">
      <c r="A12" s="149">
        <v>10</v>
      </c>
      <c r="B12" s="149">
        <f>'№3 договора ГПХ'!B24</f>
        <v>0</v>
      </c>
      <c r="C12" s="149">
        <f>'№3 договора ГПХ'!D24</f>
        <v>0</v>
      </c>
      <c r="D12" s="149">
        <f>'№3 договора ГПХ'!E24</f>
        <v>0</v>
      </c>
      <c r="E12" s="92"/>
      <c r="F12" s="21">
        <f t="shared" si="1"/>
        <v>0</v>
      </c>
      <c r="G12" s="93">
        <f t="shared" si="2"/>
        <v>0</v>
      </c>
      <c r="H12" s="21">
        <f t="shared" si="0"/>
        <v>0</v>
      </c>
      <c r="I12" s="23">
        <f t="shared" si="8"/>
        <v>0</v>
      </c>
      <c r="J12" s="23">
        <f>IF($C12=1,$F12*введение!C$22,0)</f>
        <v>0</v>
      </c>
      <c r="K12" s="23">
        <f t="shared" si="3"/>
        <v>0</v>
      </c>
      <c r="L12" s="23">
        <f>IF($C12=2,$F12*введение!C$22,0)</f>
        <v>0</v>
      </c>
      <c r="M12" s="23">
        <f t="shared" si="4"/>
        <v>0</v>
      </c>
      <c r="N12" s="23">
        <f>IF($C12=3,$F12*введение!C$22,0)</f>
        <v>0</v>
      </c>
      <c r="O12" s="23">
        <f t="shared" si="5"/>
        <v>0</v>
      </c>
      <c r="P12" s="23">
        <f>IF($C12=4,$F12*введение!C$22,0)</f>
        <v>0</v>
      </c>
      <c r="Q12" s="23">
        <f t="shared" si="6"/>
        <v>0</v>
      </c>
      <c r="R12" s="23">
        <f>IF($C12=5,$F12*введение!C$22,0)</f>
        <v>0</v>
      </c>
      <c r="S12" s="23">
        <f t="shared" si="7"/>
        <v>0</v>
      </c>
      <c r="T12" s="23">
        <f>IF($C12=6,$F12*введение!C$22,0)</f>
        <v>0</v>
      </c>
    </row>
    <row r="13" spans="1:20" ht="15" x14ac:dyDescent="0.25">
      <c r="A13" s="149">
        <v>11</v>
      </c>
      <c r="B13" s="149">
        <f>'№3 договора ГПХ'!B25</f>
        <v>0</v>
      </c>
      <c r="C13" s="149">
        <f>'№3 договора ГПХ'!D25</f>
        <v>0</v>
      </c>
      <c r="D13" s="149">
        <f>'№3 договора ГПХ'!E25</f>
        <v>0</v>
      </c>
      <c r="E13" s="92"/>
      <c r="F13" s="21">
        <f t="shared" si="1"/>
        <v>0</v>
      </c>
      <c r="G13" s="93">
        <f t="shared" si="2"/>
        <v>0</v>
      </c>
      <c r="H13" s="21">
        <f t="shared" si="0"/>
        <v>0</v>
      </c>
      <c r="I13" s="23">
        <f t="shared" si="8"/>
        <v>0</v>
      </c>
      <c r="J13" s="23">
        <f>IF($C13=1,$F13*введение!C$22,0)</f>
        <v>0</v>
      </c>
      <c r="K13" s="23">
        <f t="shared" si="3"/>
        <v>0</v>
      </c>
      <c r="L13" s="23">
        <f>IF($C13=2,$F13*введение!C$22,0)</f>
        <v>0</v>
      </c>
      <c r="M13" s="23">
        <f t="shared" si="4"/>
        <v>0</v>
      </c>
      <c r="N13" s="23">
        <f>IF($C13=3,$F13*введение!C$22,0)</f>
        <v>0</v>
      </c>
      <c r="O13" s="23">
        <f t="shared" si="5"/>
        <v>0</v>
      </c>
      <c r="P13" s="23">
        <f>IF($C13=4,$F13*введение!C$22,0)</f>
        <v>0</v>
      </c>
      <c r="Q13" s="23">
        <f t="shared" si="6"/>
        <v>0</v>
      </c>
      <c r="R13" s="23">
        <f>IF($C13=5,$F13*введение!C$22,0)</f>
        <v>0</v>
      </c>
      <c r="S13" s="23">
        <f t="shared" si="7"/>
        <v>0</v>
      </c>
      <c r="T13" s="23">
        <f>IF($C13=6,$F13*введение!C$22,0)</f>
        <v>0</v>
      </c>
    </row>
    <row r="14" spans="1:20" ht="15" x14ac:dyDescent="0.25">
      <c r="A14" s="149">
        <v>12</v>
      </c>
      <c r="B14" s="149">
        <f>'№3 договора ГПХ'!B26</f>
        <v>0</v>
      </c>
      <c r="C14" s="149">
        <f>'№3 договора ГПХ'!D26</f>
        <v>0</v>
      </c>
      <c r="D14" s="149">
        <f>'№3 договора ГПХ'!E26</f>
        <v>0</v>
      </c>
      <c r="E14" s="92"/>
      <c r="F14" s="21">
        <f t="shared" si="1"/>
        <v>0</v>
      </c>
      <c r="G14" s="93">
        <f t="shared" si="2"/>
        <v>0</v>
      </c>
      <c r="H14" s="21">
        <f t="shared" si="0"/>
        <v>0</v>
      </c>
      <c r="I14" s="23">
        <f t="shared" si="8"/>
        <v>0</v>
      </c>
      <c r="J14" s="23">
        <f>IF($C14=1,$F14*введение!C$22,0)</f>
        <v>0</v>
      </c>
      <c r="K14" s="23">
        <f t="shared" si="3"/>
        <v>0</v>
      </c>
      <c r="L14" s="23">
        <f>IF($C14=2,$F14*введение!C$22,0)</f>
        <v>0</v>
      </c>
      <c r="M14" s="23">
        <f t="shared" si="4"/>
        <v>0</v>
      </c>
      <c r="N14" s="23">
        <f>IF($C14=3,$F14*введение!C$22,0)</f>
        <v>0</v>
      </c>
      <c r="O14" s="23">
        <f t="shared" si="5"/>
        <v>0</v>
      </c>
      <c r="P14" s="23">
        <f>IF($C14=4,$F14*введение!C$22,0)</f>
        <v>0</v>
      </c>
      <c r="Q14" s="23">
        <f t="shared" si="6"/>
        <v>0</v>
      </c>
      <c r="R14" s="23">
        <f>IF($C14=5,$F14*введение!C$22,0)</f>
        <v>0</v>
      </c>
      <c r="S14" s="23">
        <f t="shared" si="7"/>
        <v>0</v>
      </c>
      <c r="T14" s="23">
        <f>IF($C14=6,$F14*введение!C$22,0)</f>
        <v>0</v>
      </c>
    </row>
    <row r="15" spans="1:20" x14ac:dyDescent="0.2">
      <c r="A15" s="319" t="s">
        <v>73</v>
      </c>
      <c r="B15" s="320"/>
      <c r="C15" s="123"/>
      <c r="D15" s="94">
        <f>SUM(D3:D14)</f>
        <v>0</v>
      </c>
      <c r="E15" s="94">
        <f>SUM(E3:E14)</f>
        <v>0</v>
      </c>
      <c r="F15" s="94">
        <f>SUM(F3:F14)</f>
        <v>0</v>
      </c>
      <c r="G15" s="94"/>
      <c r="H15" s="94"/>
      <c r="I15" s="125">
        <f t="shared" ref="I15:R15" si="9">SUM(I3:I14)</f>
        <v>0</v>
      </c>
      <c r="J15" s="125">
        <f t="shared" ref="J15:L15" si="10">SUM(J3:J14)</f>
        <v>0</v>
      </c>
      <c r="K15" s="125">
        <f t="shared" si="9"/>
        <v>0</v>
      </c>
      <c r="L15" s="125">
        <f t="shared" si="10"/>
        <v>0</v>
      </c>
      <c r="M15" s="125">
        <f t="shared" si="9"/>
        <v>0</v>
      </c>
      <c r="N15" s="125">
        <f t="shared" si="9"/>
        <v>0</v>
      </c>
      <c r="O15" s="125">
        <f t="shared" si="9"/>
        <v>0</v>
      </c>
      <c r="P15" s="125">
        <f t="shared" si="9"/>
        <v>0</v>
      </c>
      <c r="Q15" s="125">
        <f t="shared" si="9"/>
        <v>0</v>
      </c>
      <c r="R15" s="125">
        <f t="shared" si="9"/>
        <v>0</v>
      </c>
      <c r="S15" s="125">
        <f t="shared" ref="S15:T15" si="11">SUM(S3:S14)</f>
        <v>0</v>
      </c>
      <c r="T15" s="125">
        <f t="shared" si="11"/>
        <v>0</v>
      </c>
    </row>
    <row r="16" spans="1:20" ht="15" x14ac:dyDescent="0.25">
      <c r="A16" s="42"/>
      <c r="B16" s="42"/>
      <c r="C16" s="43"/>
      <c r="D16" s="4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</sheetData>
  <mergeCells count="1"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2:Q151"/>
  <sheetViews>
    <sheetView tabSelected="1" workbookViewId="0">
      <selection activeCell="P7" sqref="P7"/>
    </sheetView>
  </sheetViews>
  <sheetFormatPr defaultRowHeight="15" x14ac:dyDescent="0.25"/>
  <cols>
    <col min="1" max="1" width="3.42578125" style="5" customWidth="1"/>
    <col min="2" max="2" width="11.85546875" style="5" customWidth="1"/>
    <col min="3" max="3" width="5.85546875" style="5" customWidth="1"/>
    <col min="4" max="4" width="16" style="5" customWidth="1"/>
    <col min="5" max="5" width="11" style="5" customWidth="1"/>
    <col min="6" max="6" width="3.85546875" style="5" customWidth="1"/>
    <col min="7" max="7" width="4.5703125" style="5" customWidth="1"/>
    <col min="8" max="8" width="20.28515625" style="5" customWidth="1"/>
    <col min="9" max="9" width="10.5703125" style="5" customWidth="1"/>
    <col min="10" max="10" width="6" style="5" customWidth="1"/>
    <col min="11" max="11" width="8.42578125" style="5" customWidth="1"/>
    <col min="12" max="12" width="5.7109375" style="5" customWidth="1"/>
    <col min="13" max="13" width="6" style="5" customWidth="1"/>
    <col min="14" max="14" width="9.140625" style="5"/>
    <col min="15" max="15" width="29.5703125" style="5" customWidth="1"/>
    <col min="16" max="16" width="7" style="5" customWidth="1"/>
    <col min="17" max="17" width="29.28515625" style="5" customWidth="1"/>
    <col min="18" max="16384" width="9.140625" style="5"/>
  </cols>
  <sheetData>
    <row r="2" spans="1:16" x14ac:dyDescent="0.25">
      <c r="N2" s="263" t="s">
        <v>14</v>
      </c>
      <c r="O2" s="263"/>
      <c r="P2" s="263"/>
    </row>
    <row r="4" spans="1:16" x14ac:dyDescent="0.25">
      <c r="B4" s="24" t="s">
        <v>214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6" ht="15.75" thickBot="1" x14ac:dyDescent="0.3"/>
    <row r="6" spans="1:16" x14ac:dyDescent="0.25">
      <c r="A6" s="6"/>
      <c r="B6" s="264" t="s">
        <v>0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7"/>
      <c r="N6" s="7"/>
      <c r="O6" s="7"/>
      <c r="P6" s="8"/>
    </row>
    <row r="7" spans="1:16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ht="15.75" thickBot="1" x14ac:dyDescent="0.3">
      <c r="A8" s="9">
        <v>1</v>
      </c>
      <c r="B8" s="10" t="s">
        <v>15</v>
      </c>
      <c r="C8" s="118"/>
      <c r="D8" s="119">
        <v>461040002572</v>
      </c>
      <c r="E8" s="118"/>
      <c r="F8" s="118"/>
      <c r="G8" s="10"/>
      <c r="H8" s="10"/>
      <c r="N8" s="10"/>
      <c r="O8" s="10"/>
      <c r="P8" s="4"/>
    </row>
    <row r="9" spans="1:16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4"/>
    </row>
    <row r="10" spans="1:16" ht="15.75" thickBot="1" x14ac:dyDescent="0.3">
      <c r="A10" s="9">
        <v>2</v>
      </c>
      <c r="B10" s="10" t="s">
        <v>16</v>
      </c>
      <c r="C10" s="10"/>
      <c r="D10" s="10"/>
      <c r="E10" s="10"/>
      <c r="F10" s="16"/>
      <c r="G10" s="16"/>
      <c r="H10" s="16"/>
      <c r="I10" s="16"/>
      <c r="J10" s="29" t="s">
        <v>220</v>
      </c>
      <c r="K10" s="30"/>
      <c r="L10" s="30"/>
      <c r="M10" s="30"/>
      <c r="N10" s="31"/>
      <c r="O10" s="26"/>
      <c r="P10" s="4"/>
    </row>
    <row r="11" spans="1:16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4"/>
    </row>
    <row r="12" spans="1:16" ht="15.75" thickBot="1" x14ac:dyDescent="0.3">
      <c r="A12" s="9">
        <v>3</v>
      </c>
      <c r="B12" s="16" t="s">
        <v>17</v>
      </c>
      <c r="C12" s="16"/>
      <c r="D12" s="16"/>
      <c r="E12" s="16"/>
      <c r="F12" s="10"/>
      <c r="G12" s="10"/>
      <c r="H12" s="10"/>
      <c r="I12" s="10"/>
      <c r="J12" s="265" t="s">
        <v>18</v>
      </c>
      <c r="K12" s="265"/>
      <c r="L12" s="89">
        <v>1</v>
      </c>
      <c r="M12" s="10"/>
      <c r="N12" s="10" t="s">
        <v>12</v>
      </c>
      <c r="O12" s="89">
        <v>2020</v>
      </c>
      <c r="P12" s="4"/>
    </row>
    <row r="13" spans="1:16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"/>
    </row>
    <row r="14" spans="1:16" x14ac:dyDescent="0.25">
      <c r="A14" s="9">
        <v>4</v>
      </c>
      <c r="B14" s="10" t="s">
        <v>19</v>
      </c>
      <c r="C14" s="10"/>
      <c r="D14" s="16"/>
      <c r="E14" s="16" t="s">
        <v>20</v>
      </c>
      <c r="F14" s="23" t="s">
        <v>11</v>
      </c>
      <c r="G14" s="10"/>
      <c r="H14" s="10"/>
      <c r="I14" s="10" t="s">
        <v>21</v>
      </c>
      <c r="J14" s="10"/>
      <c r="K14" s="10"/>
      <c r="L14" s="10"/>
      <c r="M14" s="10"/>
      <c r="N14" s="10"/>
      <c r="O14" s="10"/>
      <c r="P14" s="4"/>
    </row>
    <row r="15" spans="1:16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"/>
    </row>
    <row r="16" spans="1:16" ht="49.5" customHeight="1" thickBot="1" x14ac:dyDescent="0.3">
      <c r="A16" s="9"/>
      <c r="B16" s="10"/>
      <c r="C16" s="90" t="s">
        <v>4</v>
      </c>
      <c r="D16" s="208" t="s">
        <v>147</v>
      </c>
      <c r="E16" s="209"/>
      <c r="F16" s="209"/>
      <c r="G16" s="209"/>
      <c r="H16" s="209"/>
      <c r="I16" s="209"/>
      <c r="J16" s="25"/>
      <c r="K16" s="11"/>
      <c r="L16" s="10"/>
      <c r="M16" s="90" t="s">
        <v>8</v>
      </c>
      <c r="N16" s="210" t="s">
        <v>148</v>
      </c>
      <c r="O16" s="211"/>
      <c r="P16" s="15" t="s">
        <v>179</v>
      </c>
    </row>
    <row r="17" spans="1:17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10"/>
      <c r="O17" s="211"/>
      <c r="P17" s="4"/>
    </row>
    <row r="18" spans="1:17" ht="52.5" customHeight="1" thickBot="1" x14ac:dyDescent="0.3">
      <c r="A18" s="9"/>
      <c r="B18" s="10"/>
      <c r="C18" s="90" t="s">
        <v>7</v>
      </c>
      <c r="D18" s="208" t="s">
        <v>150</v>
      </c>
      <c r="E18" s="209"/>
      <c r="F18" s="209"/>
      <c r="G18" s="209"/>
      <c r="H18" s="209"/>
      <c r="I18" s="209"/>
      <c r="J18" s="10"/>
      <c r="K18" s="11"/>
      <c r="L18" s="10"/>
      <c r="M18" s="90" t="s">
        <v>9</v>
      </c>
      <c r="N18" s="210" t="s">
        <v>149</v>
      </c>
      <c r="O18" s="211"/>
      <c r="P18" s="15"/>
    </row>
    <row r="19" spans="1:17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2"/>
    </row>
    <row r="20" spans="1:17" ht="16.5" x14ac:dyDescent="0.25">
      <c r="A20" s="10">
        <v>5</v>
      </c>
      <c r="B20" s="33" t="s">
        <v>152</v>
      </c>
      <c r="C20" s="10"/>
      <c r="D20" s="108" t="s">
        <v>153</v>
      </c>
      <c r="E20" s="23" t="s">
        <v>11</v>
      </c>
      <c r="F20" s="28"/>
      <c r="G20" s="266" t="s">
        <v>21</v>
      </c>
      <c r="H20" s="266"/>
      <c r="I20" s="266"/>
      <c r="J20" s="266"/>
      <c r="K20" s="266"/>
      <c r="L20" s="13"/>
      <c r="M20" s="265"/>
      <c r="N20" s="265"/>
      <c r="O20" s="265"/>
      <c r="P20" s="32"/>
    </row>
    <row r="21" spans="1:17" x14ac:dyDescent="0.25">
      <c r="A21" s="10"/>
      <c r="B21" s="3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2"/>
    </row>
    <row r="22" spans="1:17" ht="32.25" customHeight="1" x14ac:dyDescent="0.25">
      <c r="A22" s="10"/>
      <c r="B22" s="10" t="s">
        <v>1</v>
      </c>
      <c r="C22" s="10"/>
      <c r="D22" s="10"/>
      <c r="E22" s="265" t="s">
        <v>2</v>
      </c>
      <c r="F22" s="265"/>
      <c r="G22" s="16"/>
      <c r="H22" s="16" t="s">
        <v>151</v>
      </c>
      <c r="I22" s="16"/>
      <c r="J22" s="214" t="s">
        <v>3</v>
      </c>
      <c r="K22" s="214"/>
      <c r="L22" s="214"/>
      <c r="M22" s="99"/>
      <c r="N22" s="10" t="s">
        <v>22</v>
      </c>
      <c r="O22" s="10"/>
      <c r="P22" s="32"/>
    </row>
    <row r="23" spans="1:17" ht="27" customHeight="1" x14ac:dyDescent="0.25">
      <c r="A23" s="10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32"/>
    </row>
    <row r="24" spans="1:17" x14ac:dyDescent="0.25">
      <c r="A24" s="10">
        <v>6</v>
      </c>
      <c r="B24" s="10" t="s">
        <v>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2"/>
      <c r="Q24" s="10"/>
    </row>
    <row r="25" spans="1:17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2"/>
    </row>
    <row r="26" spans="1:17" ht="15.75" thickBot="1" x14ac:dyDescent="0.3">
      <c r="A26" s="10"/>
      <c r="B26" s="10"/>
      <c r="C26" s="90" t="s">
        <v>4</v>
      </c>
      <c r="D26" s="10" t="s">
        <v>24</v>
      </c>
      <c r="E26" s="35"/>
      <c r="F26" s="31"/>
      <c r="G26" s="31"/>
      <c r="H26" s="31"/>
      <c r="I26" s="26"/>
      <c r="J26" s="10"/>
      <c r="K26" s="10"/>
      <c r="L26" s="10"/>
      <c r="M26" s="90" t="s">
        <v>7</v>
      </c>
      <c r="N26" s="10" t="s">
        <v>25</v>
      </c>
      <c r="O26" s="11"/>
      <c r="P26" s="32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2"/>
    </row>
    <row r="28" spans="1:17" ht="15.75" thickBot="1" x14ac:dyDescent="0.3">
      <c r="A28" s="10"/>
      <c r="B28" s="269"/>
      <c r="C28" s="269"/>
      <c r="D28" s="269"/>
      <c r="E28" s="27"/>
      <c r="F28" s="27"/>
      <c r="G28" s="27"/>
      <c r="H28" s="27"/>
      <c r="I28" s="10"/>
      <c r="J28" s="10"/>
      <c r="K28" s="10"/>
      <c r="L28" s="10"/>
      <c r="M28" s="10"/>
      <c r="N28" s="10"/>
      <c r="O28" s="10"/>
      <c r="P28" s="32"/>
    </row>
    <row r="29" spans="1:17" ht="15.75" thickBot="1" x14ac:dyDescent="0.3">
      <c r="A29" s="9">
        <v>7</v>
      </c>
      <c r="B29" s="10" t="s">
        <v>26</v>
      </c>
      <c r="C29" s="10"/>
      <c r="D29" s="11" t="s">
        <v>168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"/>
      <c r="Q29"/>
    </row>
    <row r="30" spans="1:17" ht="15.75" thickBot="1" x14ac:dyDescent="0.3">
      <c r="A30" s="10"/>
      <c r="B30" s="10"/>
      <c r="C30" s="10"/>
      <c r="D30" s="10"/>
      <c r="E30" s="12"/>
      <c r="F30" s="12"/>
      <c r="G30" s="12"/>
      <c r="H30" s="104"/>
      <c r="I30" s="10"/>
      <c r="J30" s="10"/>
      <c r="K30" s="10"/>
      <c r="L30" s="10"/>
      <c r="M30" s="10"/>
      <c r="N30" s="10"/>
      <c r="O30" s="10"/>
      <c r="P30" s="32"/>
    </row>
    <row r="31" spans="1:17" ht="15.75" thickBot="1" x14ac:dyDescent="0.3">
      <c r="A31" s="10">
        <v>8</v>
      </c>
      <c r="B31" s="16" t="s">
        <v>27</v>
      </c>
      <c r="C31" s="16"/>
      <c r="D31" s="28"/>
      <c r="E31" s="90" t="s">
        <v>4</v>
      </c>
      <c r="F31" s="10"/>
      <c r="G31" s="10" t="s">
        <v>29</v>
      </c>
      <c r="H31" s="10"/>
      <c r="I31" s="10"/>
      <c r="J31" s="11" t="s">
        <v>169</v>
      </c>
      <c r="L31" s="10"/>
      <c r="M31" s="10"/>
      <c r="N31" s="90" t="s">
        <v>7</v>
      </c>
      <c r="O31" s="10" t="s">
        <v>28</v>
      </c>
      <c r="P31" s="11"/>
    </row>
    <row r="32" spans="1:17" x14ac:dyDescent="0.25">
      <c r="A32" s="10"/>
      <c r="B32" s="110" t="s">
        <v>20</v>
      </c>
      <c r="C32" s="111" t="s">
        <v>11</v>
      </c>
      <c r="D32" s="109"/>
      <c r="E32" s="109" t="s">
        <v>21</v>
      </c>
      <c r="F32" s="109"/>
      <c r="G32" s="109"/>
      <c r="H32" s="14"/>
      <c r="I32" s="10"/>
      <c r="J32" s="10"/>
      <c r="K32" s="10"/>
      <c r="L32" s="10"/>
      <c r="M32" s="10"/>
      <c r="N32" s="10"/>
      <c r="O32" s="32"/>
    </row>
    <row r="33" spans="1:17" x14ac:dyDescent="0.25">
      <c r="A33" s="278" t="s">
        <v>30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80"/>
    </row>
    <row r="34" spans="1:17" ht="15.75" thickBot="1" x14ac:dyDescent="0.3">
      <c r="A34" s="281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3"/>
    </row>
    <row r="35" spans="1:17" s="112" customFormat="1" ht="26.25" customHeight="1" thickBot="1" x14ac:dyDescent="0.25">
      <c r="A35" s="272" t="s">
        <v>6</v>
      </c>
      <c r="B35" s="273"/>
      <c r="C35" s="274" t="s">
        <v>154</v>
      </c>
      <c r="D35" s="275"/>
      <c r="E35" s="275"/>
      <c r="F35" s="275"/>
      <c r="G35" s="275"/>
      <c r="H35" s="275"/>
      <c r="I35" s="275"/>
      <c r="J35" s="275"/>
      <c r="K35" s="275"/>
      <c r="L35" s="276"/>
      <c r="M35" s="273" t="s">
        <v>5</v>
      </c>
      <c r="N35" s="273"/>
      <c r="O35" s="273"/>
      <c r="P35" s="277"/>
    </row>
    <row r="36" spans="1:17" x14ac:dyDescent="0.25">
      <c r="A36" s="232" t="s">
        <v>31</v>
      </c>
      <c r="B36" s="233"/>
      <c r="C36" s="212" t="s">
        <v>167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67">
        <f>'№ 1 доход ТОО'!C21</f>
        <v>0</v>
      </c>
      <c r="N36" s="267"/>
      <c r="O36" s="267"/>
      <c r="P36" s="268"/>
    </row>
    <row r="37" spans="1:17" x14ac:dyDescent="0.25">
      <c r="A37" s="167"/>
      <c r="B37" s="168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177"/>
      <c r="N37" s="177"/>
      <c r="O37" s="177"/>
      <c r="P37" s="178"/>
    </row>
    <row r="38" spans="1:17" x14ac:dyDescent="0.25">
      <c r="A38" s="167" t="s">
        <v>32</v>
      </c>
      <c r="B38" s="168"/>
      <c r="C38" s="287" t="s">
        <v>40</v>
      </c>
      <c r="D38" s="288"/>
      <c r="E38" s="288"/>
      <c r="F38" s="288"/>
      <c r="G38" s="288"/>
      <c r="H38" s="288"/>
      <c r="I38" s="288"/>
      <c r="J38" s="288"/>
      <c r="K38" s="288"/>
      <c r="L38" s="289"/>
      <c r="M38" s="270"/>
      <c r="N38" s="270"/>
      <c r="O38" s="270"/>
      <c r="P38" s="271"/>
    </row>
    <row r="39" spans="1:17" x14ac:dyDescent="0.25">
      <c r="A39" s="167"/>
      <c r="B39" s="168"/>
      <c r="C39" s="290"/>
      <c r="D39" s="291"/>
      <c r="E39" s="291"/>
      <c r="F39" s="291"/>
      <c r="G39" s="291"/>
      <c r="H39" s="291"/>
      <c r="I39" s="291"/>
      <c r="J39" s="291"/>
      <c r="K39" s="291"/>
      <c r="L39" s="292"/>
      <c r="M39" s="270"/>
      <c r="N39" s="270"/>
      <c r="O39" s="270"/>
      <c r="P39" s="271"/>
    </row>
    <row r="40" spans="1:17" x14ac:dyDescent="0.25">
      <c r="A40" s="167" t="s">
        <v>33</v>
      </c>
      <c r="B40" s="168"/>
      <c r="C40" s="170" t="s">
        <v>105</v>
      </c>
      <c r="D40" s="170"/>
      <c r="E40" s="170"/>
      <c r="F40" s="170"/>
      <c r="G40" s="170"/>
      <c r="H40" s="170"/>
      <c r="I40" s="170"/>
      <c r="J40" s="170"/>
      <c r="K40" s="170"/>
      <c r="L40" s="170"/>
      <c r="M40" s="252">
        <f>ROUND(('№ 2.1 Начис. доходы работников'!V26+'№ 2.2 Начис.доходы работников'!V26+'№ 2.3 Начис. доходы работ'!V26+'№ 2.4 Начис. доходы работ'!V26+'№ 2.5 Начис. доходы работ. '!V26+'№ 2.6 Начис. доходы работ. '!V26)/6,0)</f>
        <v>0</v>
      </c>
      <c r="N40" s="252"/>
      <c r="O40" s="252"/>
      <c r="P40" s="253"/>
    </row>
    <row r="41" spans="1:17" x14ac:dyDescent="0.25">
      <c r="A41" s="167"/>
      <c r="B41" s="168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252"/>
      <c r="N41" s="252"/>
      <c r="O41" s="252"/>
      <c r="P41" s="253"/>
    </row>
    <row r="42" spans="1:17" ht="23.25" customHeight="1" x14ac:dyDescent="0.25">
      <c r="A42" s="240"/>
      <c r="B42" s="241"/>
      <c r="C42" s="82" t="s">
        <v>4</v>
      </c>
      <c r="D42" s="215" t="s">
        <v>125</v>
      </c>
      <c r="E42" s="215"/>
      <c r="F42" s="215"/>
      <c r="G42" s="215"/>
      <c r="H42" s="215"/>
      <c r="I42" s="215"/>
      <c r="J42" s="215"/>
      <c r="K42" s="215"/>
      <c r="L42" s="216"/>
      <c r="M42" s="217">
        <f>ROUND(('№ 2.1 Начис. доходы работников'!N26+'№ 2.2 Начис.доходы работников'!M25+'№ 2.3 Начис. доходы работ'!L25+'№ 2.4 Начис. доходы работ'!L25+'№ 2.5 Начис. доходы работ. '!L25+'№ 2.6 Начис. доходы работ. '!L25)/6,0)</f>
        <v>0</v>
      </c>
      <c r="N42" s="217"/>
      <c r="O42" s="217"/>
      <c r="P42" s="218"/>
      <c r="Q42" s="113" t="s">
        <v>127</v>
      </c>
    </row>
    <row r="43" spans="1:17" x14ac:dyDescent="0.25">
      <c r="A43" s="296"/>
      <c r="B43" s="297"/>
      <c r="C43" s="82"/>
      <c r="D43" s="83"/>
      <c r="E43" s="83"/>
      <c r="F43" s="83"/>
      <c r="G43" s="83"/>
      <c r="H43" s="103"/>
      <c r="I43" s="83"/>
      <c r="J43" s="83"/>
      <c r="K43" s="83"/>
      <c r="L43" s="103"/>
      <c r="M43" s="115"/>
      <c r="N43" s="116"/>
      <c r="O43" s="116"/>
      <c r="P43" s="117"/>
      <c r="Q43" s="114"/>
    </row>
    <row r="44" spans="1:17" ht="24.75" x14ac:dyDescent="0.25">
      <c r="A44" s="296"/>
      <c r="B44" s="297"/>
      <c r="C44" s="82" t="s">
        <v>7</v>
      </c>
      <c r="D44" s="215" t="s">
        <v>126</v>
      </c>
      <c r="E44" s="215"/>
      <c r="F44" s="215"/>
      <c r="G44" s="215"/>
      <c r="H44" s="215"/>
      <c r="I44" s="215"/>
      <c r="J44" s="215"/>
      <c r="K44" s="215"/>
      <c r="L44" s="216"/>
      <c r="M44" s="219"/>
      <c r="N44" s="220"/>
      <c r="O44" s="220"/>
      <c r="P44" s="221"/>
      <c r="Q44" s="113" t="s">
        <v>128</v>
      </c>
    </row>
    <row r="45" spans="1:17" x14ac:dyDescent="0.25">
      <c r="A45" s="296"/>
      <c r="B45" s="297"/>
      <c r="C45" s="82"/>
      <c r="D45" s="83"/>
      <c r="E45" s="83"/>
      <c r="F45" s="83"/>
      <c r="G45" s="83"/>
      <c r="H45" s="103"/>
      <c r="I45" s="83"/>
      <c r="J45" s="83"/>
      <c r="K45" s="83"/>
      <c r="L45" s="103"/>
      <c r="M45" s="115"/>
      <c r="N45" s="116"/>
      <c r="O45" s="116"/>
      <c r="P45" s="117"/>
    </row>
    <row r="46" spans="1:17" ht="29.25" customHeight="1" x14ac:dyDescent="0.25">
      <c r="A46" s="240" t="s">
        <v>34</v>
      </c>
      <c r="B46" s="241"/>
      <c r="C46" s="244" t="s">
        <v>180</v>
      </c>
      <c r="D46" s="245"/>
      <c r="E46" s="245"/>
      <c r="F46" s="245"/>
      <c r="G46" s="245"/>
      <c r="H46" s="245"/>
      <c r="I46" s="245"/>
      <c r="J46" s="245"/>
      <c r="K46" s="245"/>
      <c r="L46" s="246"/>
      <c r="M46" s="250">
        <f>('№ 2.1 Начис. доходы работников'!AC26+'№ 2.2 Начис.доходы работников'!AC26+'№ 2.3 Начис. доходы работ'!AC26+'№ 2.4 Начис. доходы работ'!AC26+'№ 2.5 Начис. доходы работ. '!AC26+'№ 2.6 Начис. доходы работ. '!AC26)/6</f>
        <v>0</v>
      </c>
      <c r="N46" s="250"/>
      <c r="O46" s="250"/>
      <c r="P46" s="251"/>
      <c r="Q46" s="239"/>
    </row>
    <row r="47" spans="1:17" x14ac:dyDescent="0.25">
      <c r="A47" s="242"/>
      <c r="B47" s="243"/>
      <c r="C47" s="247"/>
      <c r="D47" s="248"/>
      <c r="E47" s="248"/>
      <c r="F47" s="248"/>
      <c r="G47" s="248"/>
      <c r="H47" s="248"/>
      <c r="I47" s="248"/>
      <c r="J47" s="248"/>
      <c r="K47" s="248"/>
      <c r="L47" s="249"/>
      <c r="M47" s="252"/>
      <c r="N47" s="252"/>
      <c r="O47" s="252"/>
      <c r="P47" s="253"/>
      <c r="Q47" s="239"/>
    </row>
    <row r="48" spans="1:17" x14ac:dyDescent="0.25">
      <c r="A48" s="167" t="s">
        <v>35</v>
      </c>
      <c r="B48" s="168"/>
      <c r="C48" s="213" t="s">
        <v>41</v>
      </c>
      <c r="D48" s="213"/>
      <c r="E48" s="213"/>
      <c r="F48" s="213"/>
      <c r="G48" s="213"/>
      <c r="H48" s="213"/>
      <c r="I48" s="213"/>
      <c r="J48" s="213"/>
      <c r="K48" s="213"/>
      <c r="L48" s="213"/>
      <c r="M48" s="177">
        <f>ROUND(M36*3%,0)</f>
        <v>0</v>
      </c>
      <c r="N48" s="177"/>
      <c r="O48" s="177"/>
      <c r="P48" s="178"/>
    </row>
    <row r="49" spans="1:17" x14ac:dyDescent="0.25">
      <c r="A49" s="167"/>
      <c r="B49" s="168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177"/>
      <c r="N49" s="177"/>
      <c r="O49" s="177"/>
      <c r="P49" s="178"/>
    </row>
    <row r="50" spans="1:17" ht="12.75" customHeight="1" x14ac:dyDescent="0.25">
      <c r="A50" s="167" t="s">
        <v>36</v>
      </c>
      <c r="B50" s="168"/>
      <c r="C50" s="170" t="s">
        <v>155</v>
      </c>
      <c r="D50" s="170"/>
      <c r="E50" s="170"/>
      <c r="F50" s="170"/>
      <c r="G50" s="170"/>
      <c r="H50" s="170"/>
      <c r="I50" s="170"/>
      <c r="J50" s="170"/>
      <c r="K50" s="170"/>
      <c r="L50" s="170"/>
      <c r="M50" s="177">
        <f>ROUND((IF(M46&gt;=29*введение!C20,M48*(M40)*0.015,0)),0)</f>
        <v>0</v>
      </c>
      <c r="N50" s="177"/>
      <c r="O50" s="177"/>
      <c r="P50" s="178"/>
    </row>
    <row r="51" spans="1:17" ht="14.25" customHeight="1" x14ac:dyDescent="0.25">
      <c r="A51" s="167"/>
      <c r="B51" s="168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7"/>
      <c r="N51" s="177"/>
      <c r="O51" s="177"/>
      <c r="P51" s="178"/>
    </row>
    <row r="52" spans="1:17" x14ac:dyDescent="0.25">
      <c r="A52" s="167" t="s">
        <v>37</v>
      </c>
      <c r="B52" s="168"/>
      <c r="C52" s="170" t="s">
        <v>42</v>
      </c>
      <c r="D52" s="170"/>
      <c r="E52" s="170"/>
      <c r="F52" s="170"/>
      <c r="G52" s="170"/>
      <c r="H52" s="170"/>
      <c r="I52" s="170"/>
      <c r="J52" s="170"/>
      <c r="K52" s="170"/>
      <c r="L52" s="170"/>
      <c r="M52" s="177">
        <f>M48-M50</f>
        <v>0</v>
      </c>
      <c r="N52" s="177"/>
      <c r="O52" s="177"/>
      <c r="P52" s="178"/>
    </row>
    <row r="53" spans="1:17" ht="16.5" customHeight="1" x14ac:dyDescent="0.25">
      <c r="A53" s="167"/>
      <c r="B53" s="168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7"/>
      <c r="N53" s="177"/>
      <c r="O53" s="177"/>
      <c r="P53" s="178"/>
    </row>
    <row r="54" spans="1:17" x14ac:dyDescent="0.25">
      <c r="A54" s="167" t="s">
        <v>38</v>
      </c>
      <c r="B54" s="168"/>
      <c r="C54" s="170" t="s">
        <v>43</v>
      </c>
      <c r="D54" s="170"/>
      <c r="E54" s="170"/>
      <c r="F54" s="170"/>
      <c r="G54" s="170"/>
      <c r="H54" s="170"/>
      <c r="I54" s="170"/>
      <c r="J54" s="170"/>
      <c r="K54" s="170"/>
      <c r="L54" s="170"/>
      <c r="M54" s="177">
        <f>ROUND(M52*0.5,0)</f>
        <v>0</v>
      </c>
      <c r="N54" s="177"/>
      <c r="O54" s="177"/>
      <c r="P54" s="178"/>
    </row>
    <row r="55" spans="1:17" ht="12.95" customHeight="1" x14ac:dyDescent="0.25">
      <c r="A55" s="167"/>
      <c r="B55" s="168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7"/>
      <c r="N55" s="177"/>
      <c r="O55" s="177"/>
      <c r="P55" s="178"/>
    </row>
    <row r="56" spans="1:17" ht="12.75" customHeight="1" x14ac:dyDescent="0.25">
      <c r="A56" s="167" t="s">
        <v>39</v>
      </c>
      <c r="B56" s="168"/>
      <c r="C56" s="169" t="s">
        <v>156</v>
      </c>
      <c r="D56" s="169"/>
      <c r="E56" s="169"/>
      <c r="F56" s="169"/>
      <c r="G56" s="169"/>
      <c r="H56" s="169"/>
      <c r="I56" s="169"/>
      <c r="J56" s="169"/>
      <c r="K56" s="169"/>
      <c r="L56" s="169"/>
      <c r="M56" s="177">
        <f>ROUND((IF((M52*0.5-M73-M110)&gt;0,M52*0.5-M73-M110,0)),0)</f>
        <v>0</v>
      </c>
      <c r="N56" s="177"/>
      <c r="O56" s="177"/>
      <c r="P56" s="178"/>
    </row>
    <row r="57" spans="1:17" ht="14.25" customHeight="1" x14ac:dyDescent="0.25">
      <c r="A57" s="167"/>
      <c r="B57" s="168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7"/>
      <c r="N57" s="177"/>
      <c r="O57" s="177"/>
      <c r="P57" s="178"/>
    </row>
    <row r="58" spans="1:17" ht="12.75" customHeight="1" x14ac:dyDescent="0.25">
      <c r="A58" s="167" t="s">
        <v>45</v>
      </c>
      <c r="B58" s="168"/>
      <c r="C58" s="169" t="s">
        <v>192</v>
      </c>
      <c r="D58" s="169"/>
      <c r="E58" s="169"/>
      <c r="F58" s="169"/>
      <c r="G58" s="169"/>
      <c r="H58" s="169"/>
      <c r="I58" s="169"/>
      <c r="J58" s="169"/>
      <c r="K58" s="169"/>
      <c r="L58" s="169"/>
      <c r="M58" s="171"/>
      <c r="N58" s="172"/>
      <c r="O58" s="172"/>
      <c r="P58" s="173"/>
    </row>
    <row r="59" spans="1:17" ht="36" customHeight="1" x14ac:dyDescent="0.25">
      <c r="A59" s="167"/>
      <c r="B59" s="168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4"/>
      <c r="N59" s="175"/>
      <c r="O59" s="175"/>
      <c r="P59" s="176"/>
    </row>
    <row r="60" spans="1:17" ht="18" customHeight="1" x14ac:dyDescent="0.25">
      <c r="A60" s="167" t="s">
        <v>46</v>
      </c>
      <c r="B60" s="168"/>
      <c r="C60" s="169" t="s">
        <v>193</v>
      </c>
      <c r="D60" s="169"/>
      <c r="E60" s="169"/>
      <c r="F60" s="169"/>
      <c r="G60" s="169"/>
      <c r="H60" s="169"/>
      <c r="I60" s="169"/>
      <c r="J60" s="169"/>
      <c r="K60" s="169"/>
      <c r="L60" s="169"/>
      <c r="M60" s="177">
        <f>M54</f>
        <v>0</v>
      </c>
      <c r="N60" s="177"/>
      <c r="O60" s="177"/>
      <c r="P60" s="178"/>
    </row>
    <row r="61" spans="1:17" ht="13.5" customHeight="1" thickBot="1" x14ac:dyDescent="0.3">
      <c r="A61" s="167"/>
      <c r="B61" s="168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7"/>
      <c r="N61" s="177"/>
      <c r="O61" s="177"/>
      <c r="P61" s="178"/>
    </row>
    <row r="62" spans="1:17" x14ac:dyDescent="0.25">
      <c r="A62" s="293" t="s">
        <v>44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5"/>
      <c r="Q62" s="299" t="s">
        <v>219</v>
      </c>
    </row>
    <row r="63" spans="1:17" ht="15.75" thickBot="1" x14ac:dyDescent="0.3">
      <c r="A63" s="222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4"/>
      <c r="Q63" s="300"/>
    </row>
    <row r="64" spans="1:17" ht="26.25" customHeight="1" x14ac:dyDescent="0.25">
      <c r="A64" s="167" t="s">
        <v>47</v>
      </c>
      <c r="B64" s="168"/>
      <c r="C64" s="198" t="s">
        <v>145</v>
      </c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200"/>
      <c r="Q64" s="96"/>
    </row>
    <row r="65" spans="1:17" ht="26.25" customHeight="1" x14ac:dyDescent="0.25">
      <c r="A65" s="185" t="s">
        <v>106</v>
      </c>
      <c r="B65" s="186"/>
      <c r="C65" s="75" t="s">
        <v>109</v>
      </c>
      <c r="D65" s="187"/>
      <c r="E65" s="225"/>
      <c r="F65" s="225"/>
      <c r="G65" s="225"/>
      <c r="H65" s="225"/>
      <c r="I65" s="226"/>
      <c r="J65" s="185" t="s">
        <v>112</v>
      </c>
      <c r="K65" s="186"/>
      <c r="L65" s="121" t="s">
        <v>115</v>
      </c>
      <c r="M65" s="227"/>
      <c r="N65" s="228"/>
      <c r="O65" s="228"/>
      <c r="P65" s="229"/>
      <c r="Q65" s="120"/>
    </row>
    <row r="66" spans="1:17" ht="26.25" customHeight="1" x14ac:dyDescent="0.25">
      <c r="A66" s="185" t="s">
        <v>107</v>
      </c>
      <c r="B66" s="186"/>
      <c r="C66" s="75" t="s">
        <v>110</v>
      </c>
      <c r="D66" s="187"/>
      <c r="E66" s="225"/>
      <c r="F66" s="225"/>
      <c r="G66" s="225"/>
      <c r="H66" s="225"/>
      <c r="I66" s="226"/>
      <c r="J66" s="185" t="s">
        <v>113</v>
      </c>
      <c r="K66" s="186"/>
      <c r="L66" s="121" t="s">
        <v>116</v>
      </c>
      <c r="M66" s="227"/>
      <c r="N66" s="228"/>
      <c r="O66" s="228"/>
      <c r="P66" s="229"/>
      <c r="Q66" s="69"/>
    </row>
    <row r="67" spans="1:17" ht="26.25" customHeight="1" x14ac:dyDescent="0.25">
      <c r="A67" s="185" t="s">
        <v>108</v>
      </c>
      <c r="B67" s="186"/>
      <c r="C67" s="75" t="s">
        <v>111</v>
      </c>
      <c r="D67" s="187"/>
      <c r="E67" s="225"/>
      <c r="F67" s="225"/>
      <c r="G67" s="225"/>
      <c r="H67" s="225"/>
      <c r="I67" s="226"/>
      <c r="J67" s="185" t="s">
        <v>114</v>
      </c>
      <c r="K67" s="186"/>
      <c r="L67" s="121" t="s">
        <v>117</v>
      </c>
      <c r="M67" s="227"/>
      <c r="N67" s="228"/>
      <c r="O67" s="228"/>
      <c r="P67" s="229"/>
      <c r="Q67" s="69"/>
    </row>
    <row r="68" spans="1:17" ht="26.25" customHeight="1" thickBot="1" x14ac:dyDescent="0.3">
      <c r="A68" s="234"/>
      <c r="B68" s="235"/>
      <c r="C68" s="204" t="s">
        <v>118</v>
      </c>
      <c r="D68" s="205"/>
      <c r="E68" s="205"/>
      <c r="F68" s="205"/>
      <c r="G68" s="205"/>
      <c r="H68" s="205"/>
      <c r="I68" s="205"/>
      <c r="J68" s="205"/>
      <c r="K68" s="206"/>
      <c r="L68" s="102" t="s">
        <v>157</v>
      </c>
      <c r="M68" s="284">
        <f>D65+D66+D67+M65+M66+M67</f>
        <v>0</v>
      </c>
      <c r="N68" s="285"/>
      <c r="O68" s="285"/>
      <c r="P68" s="286"/>
      <c r="Q68" s="69"/>
    </row>
    <row r="69" spans="1:17" ht="26.25" customHeight="1" x14ac:dyDescent="0.25">
      <c r="A69" s="167" t="s">
        <v>48</v>
      </c>
      <c r="B69" s="168"/>
      <c r="C69" s="198" t="s">
        <v>158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 t="e">
        <f>#REF!</f>
        <v>#REF!</v>
      </c>
      <c r="N69" s="199"/>
      <c r="O69" s="199"/>
      <c r="P69" s="200"/>
      <c r="Q69" s="69"/>
    </row>
    <row r="70" spans="1:17" ht="26.25" customHeight="1" x14ac:dyDescent="0.25">
      <c r="A70" s="185" t="s">
        <v>106</v>
      </c>
      <c r="B70" s="186"/>
      <c r="C70" s="75" t="s">
        <v>109</v>
      </c>
      <c r="D70" s="230"/>
      <c r="E70" s="225"/>
      <c r="F70" s="225"/>
      <c r="G70" s="225"/>
      <c r="H70" s="225"/>
      <c r="I70" s="226"/>
      <c r="J70" s="185" t="s">
        <v>112</v>
      </c>
      <c r="K70" s="186"/>
      <c r="L70" s="75" t="s">
        <v>115</v>
      </c>
      <c r="M70" s="254"/>
      <c r="N70" s="255"/>
      <c r="O70" s="255"/>
      <c r="P70" s="256"/>
      <c r="Q70" s="69"/>
    </row>
    <row r="71" spans="1:17" ht="26.25" customHeight="1" x14ac:dyDescent="0.25">
      <c r="A71" s="185" t="s">
        <v>107</v>
      </c>
      <c r="B71" s="186"/>
      <c r="C71" s="75" t="s">
        <v>110</v>
      </c>
      <c r="D71" s="230"/>
      <c r="E71" s="225"/>
      <c r="F71" s="225"/>
      <c r="G71" s="225"/>
      <c r="H71" s="225"/>
      <c r="I71" s="226"/>
      <c r="J71" s="185" t="s">
        <v>113</v>
      </c>
      <c r="K71" s="186"/>
      <c r="L71" s="75" t="s">
        <v>116</v>
      </c>
      <c r="M71" s="254"/>
      <c r="N71" s="255"/>
      <c r="O71" s="255"/>
      <c r="P71" s="256"/>
      <c r="Q71" s="69"/>
    </row>
    <row r="72" spans="1:17" ht="26.25" customHeight="1" x14ac:dyDescent="0.25">
      <c r="A72" s="185" t="s">
        <v>108</v>
      </c>
      <c r="B72" s="186"/>
      <c r="C72" s="75" t="s">
        <v>111</v>
      </c>
      <c r="D72" s="230"/>
      <c r="E72" s="225"/>
      <c r="F72" s="225"/>
      <c r="G72" s="225"/>
      <c r="H72" s="225"/>
      <c r="I72" s="226"/>
      <c r="J72" s="185" t="s">
        <v>114</v>
      </c>
      <c r="K72" s="186"/>
      <c r="L72" s="75" t="s">
        <v>117</v>
      </c>
      <c r="M72" s="254"/>
      <c r="N72" s="255"/>
      <c r="O72" s="255"/>
      <c r="P72" s="256"/>
      <c r="Q72" s="69"/>
    </row>
    <row r="73" spans="1:17" ht="26.25" customHeight="1" thickBot="1" x14ac:dyDescent="0.3">
      <c r="A73" s="234"/>
      <c r="B73" s="235"/>
      <c r="C73" s="204" t="s">
        <v>118</v>
      </c>
      <c r="D73" s="205"/>
      <c r="E73" s="205"/>
      <c r="F73" s="205"/>
      <c r="G73" s="205"/>
      <c r="H73" s="205"/>
      <c r="I73" s="205"/>
      <c r="J73" s="205"/>
      <c r="K73" s="206"/>
      <c r="L73" s="102" t="s">
        <v>157</v>
      </c>
      <c r="M73" s="284">
        <f>D70+D71+D72+M70+M71+M72</f>
        <v>0</v>
      </c>
      <c r="N73" s="285"/>
      <c r="O73" s="285"/>
      <c r="P73" s="286"/>
      <c r="Q73" s="69"/>
    </row>
    <row r="74" spans="1:17" ht="26.25" customHeight="1" x14ac:dyDescent="0.25">
      <c r="A74" s="167" t="s">
        <v>49</v>
      </c>
      <c r="B74" s="168"/>
      <c r="C74" s="198" t="s">
        <v>159</v>
      </c>
      <c r="D74" s="199"/>
      <c r="E74" s="199"/>
      <c r="F74" s="199"/>
      <c r="G74" s="199"/>
      <c r="H74" s="199"/>
      <c r="I74" s="199"/>
      <c r="J74" s="199"/>
      <c r="K74" s="199"/>
      <c r="L74" s="199"/>
      <c r="M74" s="199" t="e">
        <f>#REF!</f>
        <v>#REF!</v>
      </c>
      <c r="N74" s="199"/>
      <c r="O74" s="199"/>
      <c r="P74" s="200"/>
      <c r="Q74" s="69"/>
    </row>
    <row r="75" spans="1:17" ht="26.25" customHeight="1" x14ac:dyDescent="0.25">
      <c r="A75" s="185" t="s">
        <v>106</v>
      </c>
      <c r="B75" s="186"/>
      <c r="C75" s="75" t="s">
        <v>109</v>
      </c>
      <c r="D75" s="187"/>
      <c r="E75" s="225"/>
      <c r="F75" s="225"/>
      <c r="G75" s="225"/>
      <c r="H75" s="225"/>
      <c r="I75" s="226"/>
      <c r="J75" s="185" t="s">
        <v>112</v>
      </c>
      <c r="K75" s="186"/>
      <c r="L75" s="121" t="s">
        <v>115</v>
      </c>
      <c r="M75" s="227"/>
      <c r="N75" s="228"/>
      <c r="O75" s="228"/>
      <c r="P75" s="229"/>
      <c r="Q75" s="69"/>
    </row>
    <row r="76" spans="1:17" ht="26.25" customHeight="1" x14ac:dyDescent="0.25">
      <c r="A76" s="185" t="s">
        <v>107</v>
      </c>
      <c r="B76" s="186"/>
      <c r="C76" s="75" t="s">
        <v>110</v>
      </c>
      <c r="D76" s="187"/>
      <c r="E76" s="225"/>
      <c r="F76" s="225"/>
      <c r="G76" s="225"/>
      <c r="H76" s="225"/>
      <c r="I76" s="226"/>
      <c r="J76" s="185" t="s">
        <v>113</v>
      </c>
      <c r="K76" s="186"/>
      <c r="L76" s="121" t="s">
        <v>116</v>
      </c>
      <c r="M76" s="227"/>
      <c r="N76" s="228"/>
      <c r="O76" s="228"/>
      <c r="P76" s="229"/>
      <c r="Q76" s="69"/>
    </row>
    <row r="77" spans="1:17" ht="26.25" customHeight="1" x14ac:dyDescent="0.25">
      <c r="A77" s="185" t="s">
        <v>108</v>
      </c>
      <c r="B77" s="186"/>
      <c r="C77" s="75" t="s">
        <v>111</v>
      </c>
      <c r="D77" s="187"/>
      <c r="E77" s="225"/>
      <c r="F77" s="225"/>
      <c r="G77" s="225"/>
      <c r="H77" s="225"/>
      <c r="I77" s="226"/>
      <c r="J77" s="185" t="s">
        <v>114</v>
      </c>
      <c r="K77" s="186"/>
      <c r="L77" s="121" t="s">
        <v>117</v>
      </c>
      <c r="M77" s="227"/>
      <c r="N77" s="228"/>
      <c r="O77" s="228"/>
      <c r="P77" s="229"/>
      <c r="Q77" s="69"/>
    </row>
    <row r="78" spans="1:17" ht="26.25" customHeight="1" thickBot="1" x14ac:dyDescent="0.3">
      <c r="A78" s="185"/>
      <c r="B78" s="186"/>
      <c r="C78" s="204" t="s">
        <v>118</v>
      </c>
      <c r="D78" s="205"/>
      <c r="E78" s="205"/>
      <c r="F78" s="205"/>
      <c r="G78" s="205"/>
      <c r="H78" s="205"/>
      <c r="I78" s="205"/>
      <c r="J78" s="205"/>
      <c r="K78" s="206"/>
      <c r="L78" s="102" t="s">
        <v>157</v>
      </c>
      <c r="M78" s="284">
        <f>D75+D76+D77+M75+M76+M77</f>
        <v>0</v>
      </c>
      <c r="N78" s="285"/>
      <c r="O78" s="285"/>
      <c r="P78" s="286"/>
      <c r="Q78" s="69"/>
    </row>
    <row r="79" spans="1:17" ht="26.25" customHeight="1" x14ac:dyDescent="0.25">
      <c r="A79" s="167" t="s">
        <v>50</v>
      </c>
      <c r="B79" s="168"/>
      <c r="C79" s="198" t="s">
        <v>160</v>
      </c>
      <c r="D79" s="199"/>
      <c r="E79" s="199"/>
      <c r="F79" s="199"/>
      <c r="G79" s="199"/>
      <c r="H79" s="199"/>
      <c r="I79" s="199"/>
      <c r="J79" s="199"/>
      <c r="K79" s="199"/>
      <c r="L79" s="199"/>
      <c r="M79" s="199" t="e">
        <f>M74*10%</f>
        <v>#REF!</v>
      </c>
      <c r="N79" s="199"/>
      <c r="O79" s="199"/>
      <c r="P79" s="200"/>
      <c r="Q79" s="69"/>
    </row>
    <row r="80" spans="1:17" ht="26.25" customHeight="1" x14ac:dyDescent="0.25">
      <c r="A80" s="185" t="s">
        <v>106</v>
      </c>
      <c r="B80" s="186"/>
      <c r="C80" s="76" t="s">
        <v>109</v>
      </c>
      <c r="D80" s="230"/>
      <c r="E80" s="225"/>
      <c r="F80" s="225"/>
      <c r="G80" s="225"/>
      <c r="H80" s="225"/>
      <c r="I80" s="226"/>
      <c r="J80" s="185" t="s">
        <v>112</v>
      </c>
      <c r="K80" s="186"/>
      <c r="L80" s="76" t="s">
        <v>115</v>
      </c>
      <c r="M80" s="254"/>
      <c r="N80" s="255"/>
      <c r="O80" s="255"/>
      <c r="P80" s="256"/>
      <c r="Q80" s="69"/>
    </row>
    <row r="81" spans="1:17" ht="26.25" customHeight="1" x14ac:dyDescent="0.25">
      <c r="A81" s="185" t="s">
        <v>107</v>
      </c>
      <c r="B81" s="186"/>
      <c r="C81" s="76" t="s">
        <v>110</v>
      </c>
      <c r="D81" s="230"/>
      <c r="E81" s="225"/>
      <c r="F81" s="225"/>
      <c r="G81" s="225"/>
      <c r="H81" s="225"/>
      <c r="I81" s="226"/>
      <c r="J81" s="185" t="s">
        <v>113</v>
      </c>
      <c r="K81" s="186"/>
      <c r="L81" s="76" t="s">
        <v>116</v>
      </c>
      <c r="M81" s="254"/>
      <c r="N81" s="255"/>
      <c r="O81" s="255"/>
      <c r="P81" s="256"/>
      <c r="Q81" s="69"/>
    </row>
    <row r="82" spans="1:17" ht="26.25" customHeight="1" x14ac:dyDescent="0.25">
      <c r="A82" s="185" t="s">
        <v>108</v>
      </c>
      <c r="B82" s="186"/>
      <c r="C82" s="76" t="s">
        <v>111</v>
      </c>
      <c r="D82" s="230"/>
      <c r="E82" s="225"/>
      <c r="F82" s="225"/>
      <c r="G82" s="225"/>
      <c r="H82" s="225"/>
      <c r="I82" s="226"/>
      <c r="J82" s="185" t="s">
        <v>114</v>
      </c>
      <c r="K82" s="186"/>
      <c r="L82" s="76" t="s">
        <v>117</v>
      </c>
      <c r="M82" s="254"/>
      <c r="N82" s="255"/>
      <c r="O82" s="255"/>
      <c r="P82" s="256"/>
      <c r="Q82" s="69"/>
    </row>
    <row r="83" spans="1:17" ht="26.25" customHeight="1" thickBot="1" x14ac:dyDescent="0.3">
      <c r="A83" s="185"/>
      <c r="B83" s="186"/>
      <c r="C83" s="204" t="s">
        <v>118</v>
      </c>
      <c r="D83" s="205"/>
      <c r="E83" s="205"/>
      <c r="F83" s="205"/>
      <c r="G83" s="205"/>
      <c r="H83" s="205"/>
      <c r="I83" s="205"/>
      <c r="J83" s="205"/>
      <c r="K83" s="206"/>
      <c r="L83" s="102" t="s">
        <v>157</v>
      </c>
      <c r="M83" s="284">
        <f>D80+D81+D82+M80+M81+M82</f>
        <v>0</v>
      </c>
      <c r="N83" s="285"/>
      <c r="O83" s="285"/>
      <c r="P83" s="286"/>
      <c r="Q83" s="69"/>
    </row>
    <row r="84" spans="1:17" ht="26.25" customHeight="1" x14ac:dyDescent="0.25">
      <c r="A84" s="167" t="s">
        <v>51</v>
      </c>
      <c r="B84" s="168"/>
      <c r="C84" s="198" t="s">
        <v>161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 t="e">
        <f>M79*10%</f>
        <v>#REF!</v>
      </c>
      <c r="N84" s="199"/>
      <c r="O84" s="199"/>
      <c r="P84" s="200"/>
      <c r="Q84" s="136"/>
    </row>
    <row r="85" spans="1:17" ht="26.25" customHeight="1" x14ac:dyDescent="0.25">
      <c r="A85" s="185" t="s">
        <v>106</v>
      </c>
      <c r="B85" s="186"/>
      <c r="C85" s="76" t="s">
        <v>109</v>
      </c>
      <c r="D85" s="187"/>
      <c r="E85" s="188"/>
      <c r="F85" s="188"/>
      <c r="G85" s="188"/>
      <c r="H85" s="188"/>
      <c r="I85" s="207"/>
      <c r="J85" s="185" t="s">
        <v>112</v>
      </c>
      <c r="K85" s="186"/>
      <c r="L85" s="76" t="s">
        <v>115</v>
      </c>
      <c r="M85" s="187"/>
      <c r="N85" s="188"/>
      <c r="O85" s="188"/>
      <c r="P85" s="188"/>
      <c r="Q85" s="69"/>
    </row>
    <row r="86" spans="1:17" ht="26.25" customHeight="1" x14ac:dyDescent="0.25">
      <c r="A86" s="185" t="s">
        <v>107</v>
      </c>
      <c r="B86" s="186"/>
      <c r="C86" s="76" t="s">
        <v>110</v>
      </c>
      <c r="D86" s="187"/>
      <c r="E86" s="188"/>
      <c r="F86" s="188"/>
      <c r="G86" s="188"/>
      <c r="H86" s="188"/>
      <c r="I86" s="207"/>
      <c r="J86" s="185" t="s">
        <v>113</v>
      </c>
      <c r="K86" s="186"/>
      <c r="L86" s="76" t="s">
        <v>116</v>
      </c>
      <c r="M86" s="187"/>
      <c r="N86" s="188"/>
      <c r="O86" s="188"/>
      <c r="P86" s="188"/>
      <c r="Q86" s="69"/>
    </row>
    <row r="87" spans="1:17" ht="26.25" customHeight="1" x14ac:dyDescent="0.25">
      <c r="A87" s="185" t="s">
        <v>108</v>
      </c>
      <c r="B87" s="186"/>
      <c r="C87" s="76" t="s">
        <v>111</v>
      </c>
      <c r="D87" s="187"/>
      <c r="E87" s="188"/>
      <c r="F87" s="188"/>
      <c r="G87" s="188"/>
      <c r="H87" s="188"/>
      <c r="I87" s="207"/>
      <c r="J87" s="185" t="s">
        <v>114</v>
      </c>
      <c r="K87" s="186"/>
      <c r="L87" s="76" t="s">
        <v>117</v>
      </c>
      <c r="M87" s="187"/>
      <c r="N87" s="188"/>
      <c r="O87" s="188"/>
      <c r="P87" s="188"/>
      <c r="Q87" s="69"/>
    </row>
    <row r="88" spans="1:17" ht="26.25" customHeight="1" thickBot="1" x14ac:dyDescent="0.3">
      <c r="A88" s="185"/>
      <c r="B88" s="186"/>
      <c r="C88" s="204" t="s">
        <v>118</v>
      </c>
      <c r="D88" s="205"/>
      <c r="E88" s="205"/>
      <c r="F88" s="205"/>
      <c r="G88" s="205"/>
      <c r="H88" s="205"/>
      <c r="I88" s="205"/>
      <c r="J88" s="205"/>
      <c r="K88" s="206"/>
      <c r="L88" s="102" t="s">
        <v>157</v>
      </c>
      <c r="M88" s="236">
        <f>D85+D86+D87+M85+M86+M87</f>
        <v>0</v>
      </c>
      <c r="N88" s="237"/>
      <c r="O88" s="237"/>
      <c r="P88" s="238"/>
      <c r="Q88" s="69"/>
    </row>
    <row r="89" spans="1:17" ht="15" customHeight="1" x14ac:dyDescent="0.25">
      <c r="A89" s="179" t="s">
        <v>162</v>
      </c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1"/>
    </row>
    <row r="90" spans="1:17" ht="15.75" thickBot="1" x14ac:dyDescent="0.3">
      <c r="A90" s="182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4"/>
    </row>
    <row r="91" spans="1:17" ht="26.25" customHeight="1" x14ac:dyDescent="0.25">
      <c r="A91" s="167" t="s">
        <v>52</v>
      </c>
      <c r="B91" s="168"/>
      <c r="C91" s="198" t="s">
        <v>141</v>
      </c>
      <c r="D91" s="199"/>
      <c r="E91" s="199"/>
      <c r="F91" s="199"/>
      <c r="G91" s="199"/>
      <c r="H91" s="199"/>
      <c r="I91" s="199"/>
      <c r="J91" s="199"/>
      <c r="K91" s="199"/>
      <c r="L91" s="199"/>
      <c r="M91" s="199" t="e">
        <f>#REF!</f>
        <v>#REF!</v>
      </c>
      <c r="N91" s="199"/>
      <c r="O91" s="199"/>
      <c r="P91" s="200"/>
      <c r="Q91" s="69"/>
    </row>
    <row r="92" spans="1:17" ht="26.25" customHeight="1" x14ac:dyDescent="0.25">
      <c r="A92" s="185" t="s">
        <v>106</v>
      </c>
      <c r="B92" s="186"/>
      <c r="C92" s="76" t="s">
        <v>109</v>
      </c>
      <c r="D92" s="187">
        <f>'№ 2.1 Начис. доходы работников'!J26+'№3 договора ГПХ'!L27+'№4 Дивиденды'!L27</f>
        <v>0</v>
      </c>
      <c r="E92" s="188"/>
      <c r="F92" s="188"/>
      <c r="G92" s="188"/>
      <c r="H92" s="188"/>
      <c r="I92" s="207"/>
      <c r="J92" s="185" t="s">
        <v>112</v>
      </c>
      <c r="K92" s="186"/>
      <c r="L92" s="76" t="s">
        <v>115</v>
      </c>
      <c r="M92" s="187">
        <f>'№ 2.4 Начис. доходы работ'!J26+'№3 договора ГПХ'!R27+'№4 Дивиденды'!R27</f>
        <v>0</v>
      </c>
      <c r="N92" s="188"/>
      <c r="O92" s="188"/>
      <c r="P92" s="188"/>
      <c r="Q92" s="69"/>
    </row>
    <row r="93" spans="1:17" ht="26.25" customHeight="1" x14ac:dyDescent="0.25">
      <c r="A93" s="185" t="s">
        <v>107</v>
      </c>
      <c r="B93" s="186"/>
      <c r="C93" s="76" t="s">
        <v>110</v>
      </c>
      <c r="D93" s="187">
        <f>'№ 2.2 Начис.доходы работников'!J26+'№3 договора ГПХ'!N27+'№4 Дивиденды'!N27</f>
        <v>0</v>
      </c>
      <c r="E93" s="188"/>
      <c r="F93" s="188"/>
      <c r="G93" s="188"/>
      <c r="H93" s="188"/>
      <c r="I93" s="207"/>
      <c r="J93" s="185" t="s">
        <v>113</v>
      </c>
      <c r="K93" s="186"/>
      <c r="L93" s="76" t="s">
        <v>116</v>
      </c>
      <c r="M93" s="187">
        <f>'№ 2.5 Начис. доходы работ. '!J26+'№3 договора ГПХ'!T27+'№4 Дивиденды'!T27</f>
        <v>0</v>
      </c>
      <c r="N93" s="188"/>
      <c r="O93" s="188"/>
      <c r="P93" s="188"/>
      <c r="Q93" s="69"/>
    </row>
    <row r="94" spans="1:17" ht="26.25" customHeight="1" x14ac:dyDescent="0.25">
      <c r="A94" s="185" t="s">
        <v>108</v>
      </c>
      <c r="B94" s="186"/>
      <c r="C94" s="76" t="s">
        <v>111</v>
      </c>
      <c r="D94" s="187">
        <f>'№ 2.3 Начис. доходы работ'!J26+'№3 договора ГПХ'!P27+'№4 Дивиденды'!P27</f>
        <v>0</v>
      </c>
      <c r="E94" s="188"/>
      <c r="F94" s="188"/>
      <c r="G94" s="188"/>
      <c r="H94" s="188"/>
      <c r="I94" s="207"/>
      <c r="J94" s="185" t="s">
        <v>114</v>
      </c>
      <c r="K94" s="186"/>
      <c r="L94" s="76" t="s">
        <v>117</v>
      </c>
      <c r="M94" s="187">
        <f>'№ 2.6 Начис. доходы работ. '!J26+'№3 договора ГПХ'!V27+'№4 Дивиденды'!V27</f>
        <v>0</v>
      </c>
      <c r="N94" s="188"/>
      <c r="O94" s="188"/>
      <c r="P94" s="188"/>
      <c r="Q94" s="69"/>
    </row>
    <row r="95" spans="1:17" ht="26.25" customHeight="1" thickBot="1" x14ac:dyDescent="0.3">
      <c r="A95" s="185"/>
      <c r="B95" s="186"/>
      <c r="C95" s="204" t="s">
        <v>118</v>
      </c>
      <c r="D95" s="205"/>
      <c r="E95" s="205"/>
      <c r="F95" s="205"/>
      <c r="G95" s="205"/>
      <c r="H95" s="205"/>
      <c r="I95" s="205"/>
      <c r="J95" s="205"/>
      <c r="K95" s="206"/>
      <c r="L95" s="102" t="s">
        <v>157</v>
      </c>
      <c r="M95" s="195">
        <f>D92+D93+D94+M92+M93+M94</f>
        <v>0</v>
      </c>
      <c r="N95" s="196"/>
      <c r="O95" s="196"/>
      <c r="P95" s="197"/>
      <c r="Q95" s="69"/>
    </row>
    <row r="96" spans="1:17" ht="26.25" customHeight="1" x14ac:dyDescent="0.25">
      <c r="A96" s="167" t="s">
        <v>53</v>
      </c>
      <c r="B96" s="168"/>
      <c r="C96" s="198" t="s">
        <v>97</v>
      </c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200"/>
      <c r="Q96" s="69"/>
    </row>
    <row r="97" spans="1:17" ht="26.25" customHeight="1" x14ac:dyDescent="0.25">
      <c r="A97" s="185" t="s">
        <v>106</v>
      </c>
      <c r="B97" s="186"/>
      <c r="C97" s="76" t="s">
        <v>109</v>
      </c>
      <c r="D97" s="187">
        <f>'№ 2.1 Начис. доходы работников'!K26+'№3 договора ГПХ'!M27+'№4 Дивиденды'!M27</f>
        <v>0</v>
      </c>
      <c r="E97" s="188"/>
      <c r="F97" s="188"/>
      <c r="G97" s="188"/>
      <c r="H97" s="188"/>
      <c r="I97" s="207"/>
      <c r="J97" s="185" t="s">
        <v>112</v>
      </c>
      <c r="K97" s="186"/>
      <c r="L97" s="86" t="s">
        <v>115</v>
      </c>
      <c r="M97" s="187">
        <f>'№ 2.4 Начис. доходы работ'!K26+'№3 договора ГПХ'!S27+'№4 Дивиденды'!S27</f>
        <v>0</v>
      </c>
      <c r="N97" s="188"/>
      <c r="O97" s="188"/>
      <c r="P97" s="188"/>
      <c r="Q97" s="298"/>
    </row>
    <row r="98" spans="1:17" ht="26.25" customHeight="1" x14ac:dyDescent="0.25">
      <c r="A98" s="185" t="s">
        <v>107</v>
      </c>
      <c r="B98" s="186"/>
      <c r="C98" s="76" t="s">
        <v>110</v>
      </c>
      <c r="D98" s="187">
        <f>'№ 2.2 Начис.доходы работников'!K26+'№3 договора ГПХ'!O27+'№4 Дивиденды'!O27</f>
        <v>0</v>
      </c>
      <c r="E98" s="188"/>
      <c r="F98" s="188"/>
      <c r="G98" s="188"/>
      <c r="H98" s="188"/>
      <c r="I98" s="207"/>
      <c r="J98" s="185" t="s">
        <v>113</v>
      </c>
      <c r="K98" s="186"/>
      <c r="L98" s="86" t="s">
        <v>116</v>
      </c>
      <c r="M98" s="187">
        <f>'№ 2.5 Начис. доходы работ. '!K26+'№3 договора ГПХ'!U27+'№4 Дивиденды'!U27</f>
        <v>0</v>
      </c>
      <c r="N98" s="188"/>
      <c r="O98" s="188"/>
      <c r="P98" s="188"/>
      <c r="Q98" s="298"/>
    </row>
    <row r="99" spans="1:17" ht="26.25" customHeight="1" x14ac:dyDescent="0.25">
      <c r="A99" s="185" t="s">
        <v>108</v>
      </c>
      <c r="B99" s="186"/>
      <c r="C99" s="76" t="s">
        <v>111</v>
      </c>
      <c r="D99" s="187">
        <f>'№ 2.3 Начис. доходы работ'!K26+'№3 договора ГПХ'!Q27+'№4 Дивиденды'!Q27</f>
        <v>0</v>
      </c>
      <c r="E99" s="188"/>
      <c r="F99" s="188"/>
      <c r="G99" s="188"/>
      <c r="H99" s="188"/>
      <c r="I99" s="207"/>
      <c r="J99" s="185" t="s">
        <v>114</v>
      </c>
      <c r="K99" s="186"/>
      <c r="L99" s="86" t="s">
        <v>117</v>
      </c>
      <c r="M99" s="187">
        <f>'№ 2.6 Начис. доходы работ. '!K26+'№3 договора ГПХ'!W27+'№4 Дивиденды'!W27</f>
        <v>0</v>
      </c>
      <c r="N99" s="188"/>
      <c r="O99" s="188"/>
      <c r="P99" s="188"/>
      <c r="Q99" s="298"/>
    </row>
    <row r="100" spans="1:17" ht="26.25" customHeight="1" thickBot="1" x14ac:dyDescent="0.3">
      <c r="A100" s="185"/>
      <c r="B100" s="186"/>
      <c r="C100" s="204" t="s">
        <v>118</v>
      </c>
      <c r="D100" s="205"/>
      <c r="E100" s="205"/>
      <c r="F100" s="205"/>
      <c r="G100" s="205"/>
      <c r="H100" s="205"/>
      <c r="I100" s="205"/>
      <c r="J100" s="205"/>
      <c r="K100" s="206"/>
      <c r="L100" s="102" t="s">
        <v>157</v>
      </c>
      <c r="M100" s="195">
        <f>D97+D98+D99+M97+M98+M99</f>
        <v>0</v>
      </c>
      <c r="N100" s="196"/>
      <c r="O100" s="196"/>
      <c r="P100" s="197"/>
      <c r="Q100" s="69"/>
    </row>
    <row r="101" spans="1:17" ht="26.25" customHeight="1" x14ac:dyDescent="0.25">
      <c r="A101" s="234" t="s">
        <v>54</v>
      </c>
      <c r="B101" s="235"/>
      <c r="C101" s="198" t="s">
        <v>119</v>
      </c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200"/>
      <c r="Q101" s="69"/>
    </row>
    <row r="102" spans="1:17" ht="26.25" customHeight="1" x14ac:dyDescent="0.25">
      <c r="A102" s="185" t="s">
        <v>106</v>
      </c>
      <c r="B102" s="186"/>
      <c r="C102" s="77" t="s">
        <v>109</v>
      </c>
      <c r="D102" s="187">
        <f>'№ 2.1 Начис. доходы работников'!R26</f>
        <v>0</v>
      </c>
      <c r="E102" s="188"/>
      <c r="F102" s="188"/>
      <c r="G102" s="188"/>
      <c r="H102" s="188"/>
      <c r="I102" s="207"/>
      <c r="J102" s="185" t="s">
        <v>112</v>
      </c>
      <c r="K102" s="186"/>
      <c r="L102" s="77" t="s">
        <v>115</v>
      </c>
      <c r="M102" s="187">
        <f>'№ 2.4 Начис. доходы работ'!R26</f>
        <v>0</v>
      </c>
      <c r="N102" s="188"/>
      <c r="O102" s="188"/>
      <c r="P102" s="188"/>
      <c r="Q102" s="69"/>
    </row>
    <row r="103" spans="1:17" ht="26.25" customHeight="1" x14ac:dyDescent="0.25">
      <c r="A103" s="185" t="s">
        <v>107</v>
      </c>
      <c r="B103" s="186"/>
      <c r="C103" s="77" t="s">
        <v>110</v>
      </c>
      <c r="D103" s="187">
        <f>'№ 2.2 Начис.доходы работников'!R26</f>
        <v>0</v>
      </c>
      <c r="E103" s="188"/>
      <c r="F103" s="188"/>
      <c r="G103" s="188"/>
      <c r="H103" s="188"/>
      <c r="I103" s="207"/>
      <c r="J103" s="185" t="s">
        <v>113</v>
      </c>
      <c r="K103" s="186"/>
      <c r="L103" s="77" t="s">
        <v>116</v>
      </c>
      <c r="M103" s="187">
        <f>'№ 2.5 Начис. доходы работ. '!R26</f>
        <v>0</v>
      </c>
      <c r="N103" s="188"/>
      <c r="O103" s="188"/>
      <c r="P103" s="188"/>
      <c r="Q103" s="69"/>
    </row>
    <row r="104" spans="1:17" ht="26.25" customHeight="1" x14ac:dyDescent="0.25">
      <c r="A104" s="185" t="s">
        <v>108</v>
      </c>
      <c r="B104" s="186"/>
      <c r="C104" s="77" t="s">
        <v>111</v>
      </c>
      <c r="D104" s="187">
        <f>'№ 2.3 Начис. доходы работ'!R26</f>
        <v>0</v>
      </c>
      <c r="E104" s="188"/>
      <c r="F104" s="188"/>
      <c r="G104" s="188"/>
      <c r="H104" s="188"/>
      <c r="I104" s="207"/>
      <c r="J104" s="185" t="s">
        <v>114</v>
      </c>
      <c r="K104" s="186"/>
      <c r="L104" s="77" t="s">
        <v>117</v>
      </c>
      <c r="M104" s="187">
        <f>'№ 2.6 Начис. доходы работ. '!R26</f>
        <v>0</v>
      </c>
      <c r="N104" s="188"/>
      <c r="O104" s="188"/>
      <c r="P104" s="188"/>
      <c r="Q104" s="69"/>
    </row>
    <row r="105" spans="1:17" ht="26.25" customHeight="1" thickBot="1" x14ac:dyDescent="0.3">
      <c r="A105" s="185"/>
      <c r="B105" s="186"/>
      <c r="C105" s="204" t="s">
        <v>118</v>
      </c>
      <c r="D105" s="205"/>
      <c r="E105" s="205"/>
      <c r="F105" s="205"/>
      <c r="G105" s="205"/>
      <c r="H105" s="205"/>
      <c r="I105" s="205"/>
      <c r="J105" s="205"/>
      <c r="K105" s="206"/>
      <c r="L105" s="102" t="s">
        <v>157</v>
      </c>
      <c r="M105" s="195">
        <f>D102+D103+D104+M102+M103+M104</f>
        <v>0</v>
      </c>
      <c r="N105" s="196"/>
      <c r="O105" s="196"/>
      <c r="P105" s="197"/>
      <c r="Q105" s="69"/>
    </row>
    <row r="106" spans="1:17" ht="26.25" customHeight="1" x14ac:dyDescent="0.25">
      <c r="A106" s="234" t="s">
        <v>55</v>
      </c>
      <c r="B106" s="235"/>
      <c r="C106" s="198" t="s">
        <v>158</v>
      </c>
      <c r="D106" s="199"/>
      <c r="E106" s="199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200"/>
      <c r="Q106" s="69"/>
    </row>
    <row r="107" spans="1:17" ht="26.25" customHeight="1" x14ac:dyDescent="0.25">
      <c r="A107" s="185" t="s">
        <v>106</v>
      </c>
      <c r="B107" s="186"/>
      <c r="C107" s="78" t="s">
        <v>109</v>
      </c>
      <c r="D107" s="187">
        <f>'№ 2.1 Начис. доходы работников'!S26</f>
        <v>0</v>
      </c>
      <c r="E107" s="188"/>
      <c r="F107" s="188"/>
      <c r="G107" s="188"/>
      <c r="H107" s="188"/>
      <c r="I107" s="207"/>
      <c r="J107" s="185" t="s">
        <v>112</v>
      </c>
      <c r="K107" s="186"/>
      <c r="L107" s="78" t="s">
        <v>115</v>
      </c>
      <c r="M107" s="187">
        <f>'№ 2.4 Начис. доходы работ'!S26</f>
        <v>0</v>
      </c>
      <c r="N107" s="188"/>
      <c r="O107" s="188"/>
      <c r="P107" s="188"/>
      <c r="Q107" s="69"/>
    </row>
    <row r="108" spans="1:17" ht="26.25" customHeight="1" x14ac:dyDescent="0.25">
      <c r="A108" s="185" t="s">
        <v>107</v>
      </c>
      <c r="B108" s="186"/>
      <c r="C108" s="78" t="s">
        <v>110</v>
      </c>
      <c r="D108" s="187">
        <f>'№ 2.2 Начис.доходы работников'!S26</f>
        <v>0</v>
      </c>
      <c r="E108" s="188"/>
      <c r="F108" s="188"/>
      <c r="G108" s="188"/>
      <c r="H108" s="188"/>
      <c r="I108" s="207"/>
      <c r="J108" s="185" t="s">
        <v>113</v>
      </c>
      <c r="K108" s="186"/>
      <c r="L108" s="78" t="s">
        <v>116</v>
      </c>
      <c r="M108" s="187">
        <f>'№ 2.5 Начис. доходы работ. '!S26</f>
        <v>0</v>
      </c>
      <c r="N108" s="188"/>
      <c r="O108" s="188"/>
      <c r="P108" s="188"/>
      <c r="Q108" s="69"/>
    </row>
    <row r="109" spans="1:17" ht="26.25" customHeight="1" x14ac:dyDescent="0.25">
      <c r="A109" s="185" t="s">
        <v>108</v>
      </c>
      <c r="B109" s="186"/>
      <c r="C109" s="78" t="s">
        <v>111</v>
      </c>
      <c r="D109" s="187">
        <f>'№ 2.3 Начис. доходы работ'!S26</f>
        <v>0</v>
      </c>
      <c r="E109" s="188"/>
      <c r="F109" s="188"/>
      <c r="G109" s="188"/>
      <c r="H109" s="188"/>
      <c r="I109" s="207"/>
      <c r="J109" s="185" t="s">
        <v>114</v>
      </c>
      <c r="K109" s="186"/>
      <c r="L109" s="78" t="s">
        <v>117</v>
      </c>
      <c r="M109" s="187">
        <f>'№ 2.6 Начис. доходы работ. '!S26</f>
        <v>0</v>
      </c>
      <c r="N109" s="188"/>
      <c r="O109" s="188"/>
      <c r="P109" s="188"/>
      <c r="Q109" s="69"/>
    </row>
    <row r="110" spans="1:17" ht="26.25" customHeight="1" thickBot="1" x14ac:dyDescent="0.3">
      <c r="A110" s="185"/>
      <c r="B110" s="186"/>
      <c r="C110" s="204" t="s">
        <v>118</v>
      </c>
      <c r="D110" s="205"/>
      <c r="E110" s="205"/>
      <c r="F110" s="205"/>
      <c r="G110" s="205"/>
      <c r="H110" s="205"/>
      <c r="I110" s="205"/>
      <c r="J110" s="205"/>
      <c r="K110" s="206"/>
      <c r="L110" s="102" t="s">
        <v>157</v>
      </c>
      <c r="M110" s="195">
        <f>D107+D108+D109+M107+M108+M109</f>
        <v>0</v>
      </c>
      <c r="N110" s="196"/>
      <c r="O110" s="196"/>
      <c r="P110" s="197"/>
      <c r="Q110" s="69"/>
    </row>
    <row r="111" spans="1:17" ht="25.5" customHeight="1" x14ac:dyDescent="0.25">
      <c r="A111" s="167" t="s">
        <v>56</v>
      </c>
      <c r="B111" s="168"/>
      <c r="C111" s="198" t="s">
        <v>163</v>
      </c>
      <c r="D111" s="199"/>
      <c r="E111" s="199"/>
      <c r="F111" s="199"/>
      <c r="G111" s="199"/>
      <c r="H111" s="199"/>
      <c r="I111" s="199"/>
      <c r="J111" s="199"/>
      <c r="K111" s="199"/>
      <c r="L111" s="199"/>
      <c r="M111" s="199" t="e">
        <f>#REF!</f>
        <v>#REF!</v>
      </c>
      <c r="N111" s="199"/>
      <c r="O111" s="199"/>
      <c r="P111" s="200"/>
      <c r="Q111" s="69"/>
    </row>
    <row r="112" spans="1:17" ht="26.25" customHeight="1" x14ac:dyDescent="0.25">
      <c r="A112" s="185" t="s">
        <v>106</v>
      </c>
      <c r="B112" s="186"/>
      <c r="C112" s="77" t="s">
        <v>109</v>
      </c>
      <c r="D112" s="187">
        <f>'№ 2.1 Начис. доходы работников'!M26+'№ 4 договора ГПХ'!I15*10</f>
        <v>0</v>
      </c>
      <c r="E112" s="188"/>
      <c r="F112" s="188"/>
      <c r="G112" s="188"/>
      <c r="H112" s="188"/>
      <c r="I112" s="207"/>
      <c r="J112" s="185" t="s">
        <v>112</v>
      </c>
      <c r="K112" s="186"/>
      <c r="L112" s="77" t="s">
        <v>115</v>
      </c>
      <c r="M112" s="187">
        <f>'№ 2.4 Начис. доходы работ'!M26+'№ 4 договора ГПХ'!O15*10</f>
        <v>0</v>
      </c>
      <c r="N112" s="188"/>
      <c r="O112" s="188"/>
      <c r="P112" s="188"/>
      <c r="Q112" s="69"/>
    </row>
    <row r="113" spans="1:17" ht="26.25" customHeight="1" x14ac:dyDescent="0.25">
      <c r="A113" s="185" t="s">
        <v>107</v>
      </c>
      <c r="B113" s="186"/>
      <c r="C113" s="77" t="s">
        <v>110</v>
      </c>
      <c r="D113" s="187">
        <f>'№ 2.2 Начис.доходы работников'!M26+'№ 4 договора ГПХ'!K15*10</f>
        <v>0</v>
      </c>
      <c r="E113" s="188"/>
      <c r="F113" s="188"/>
      <c r="G113" s="188"/>
      <c r="H113" s="188"/>
      <c r="I113" s="207"/>
      <c r="J113" s="185" t="s">
        <v>113</v>
      </c>
      <c r="K113" s="186"/>
      <c r="L113" s="77" t="s">
        <v>116</v>
      </c>
      <c r="M113" s="187">
        <f>'№ 2.5 Начис. доходы работ. '!M26+'№ 4 договора ГПХ'!Q15*10</f>
        <v>0</v>
      </c>
      <c r="N113" s="188"/>
      <c r="O113" s="188"/>
      <c r="P113" s="188"/>
      <c r="Q113" s="69"/>
    </row>
    <row r="114" spans="1:17" ht="26.25" customHeight="1" x14ac:dyDescent="0.25">
      <c r="A114" s="185" t="s">
        <v>108</v>
      </c>
      <c r="B114" s="186"/>
      <c r="C114" s="77" t="s">
        <v>111</v>
      </c>
      <c r="D114" s="187">
        <f>'№ 2.3 Начис. доходы работ'!M26+'№ 4 договора ГПХ'!M15*10</f>
        <v>0</v>
      </c>
      <c r="E114" s="188"/>
      <c r="F114" s="188"/>
      <c r="G114" s="188"/>
      <c r="H114" s="188"/>
      <c r="I114" s="207"/>
      <c r="J114" s="185" t="s">
        <v>114</v>
      </c>
      <c r="K114" s="186"/>
      <c r="L114" s="77" t="s">
        <v>117</v>
      </c>
      <c r="M114" s="187">
        <f>'№ 2.6 Начис. доходы работ. '!M26+'№ 4 договора ГПХ'!S15*10</f>
        <v>0</v>
      </c>
      <c r="N114" s="188"/>
      <c r="O114" s="188"/>
      <c r="P114" s="188"/>
      <c r="Q114" s="69"/>
    </row>
    <row r="115" spans="1:17" ht="26.25" customHeight="1" thickBot="1" x14ac:dyDescent="0.3">
      <c r="A115" s="185"/>
      <c r="B115" s="186"/>
      <c r="C115" s="204" t="s">
        <v>118</v>
      </c>
      <c r="D115" s="205"/>
      <c r="E115" s="205"/>
      <c r="F115" s="205"/>
      <c r="G115" s="205"/>
      <c r="H115" s="205"/>
      <c r="I115" s="205"/>
      <c r="J115" s="205"/>
      <c r="K115" s="206"/>
      <c r="L115" s="102" t="s">
        <v>157</v>
      </c>
      <c r="M115" s="195">
        <f>D112+D113+D114+M112+M113+M114</f>
        <v>0</v>
      </c>
      <c r="N115" s="196"/>
      <c r="O115" s="196"/>
      <c r="P115" s="197"/>
      <c r="Q115" s="69"/>
    </row>
    <row r="116" spans="1:17" ht="25.5" customHeight="1" x14ac:dyDescent="0.25">
      <c r="A116" s="167" t="s">
        <v>120</v>
      </c>
      <c r="B116" s="168"/>
      <c r="C116" s="198" t="s">
        <v>160</v>
      </c>
      <c r="D116" s="199"/>
      <c r="E116" s="199"/>
      <c r="F116" s="199"/>
      <c r="G116" s="199"/>
      <c r="H116" s="199"/>
      <c r="I116" s="199"/>
      <c r="J116" s="199"/>
      <c r="K116" s="199"/>
      <c r="L116" s="199"/>
      <c r="M116" s="199" t="e">
        <f>#REF!</f>
        <v>#REF!</v>
      </c>
      <c r="N116" s="199"/>
      <c r="O116" s="199"/>
      <c r="P116" s="200"/>
      <c r="Q116" s="69"/>
    </row>
    <row r="117" spans="1:17" ht="26.25" customHeight="1" x14ac:dyDescent="0.25">
      <c r="A117" s="185" t="s">
        <v>106</v>
      </c>
      <c r="B117" s="186"/>
      <c r="C117" s="79" t="s">
        <v>109</v>
      </c>
      <c r="D117" s="187">
        <f>D112*10%</f>
        <v>0</v>
      </c>
      <c r="E117" s="188"/>
      <c r="F117" s="188"/>
      <c r="G117" s="188"/>
      <c r="H117" s="188"/>
      <c r="I117" s="207"/>
      <c r="J117" s="185" t="s">
        <v>112</v>
      </c>
      <c r="K117" s="186"/>
      <c r="L117" s="79" t="s">
        <v>115</v>
      </c>
      <c r="M117" s="187">
        <f>M112*10%</f>
        <v>0</v>
      </c>
      <c r="N117" s="188"/>
      <c r="O117" s="188"/>
      <c r="P117" s="188"/>
      <c r="Q117" s="69"/>
    </row>
    <row r="118" spans="1:17" ht="26.25" customHeight="1" x14ac:dyDescent="0.25">
      <c r="A118" s="185" t="s">
        <v>107</v>
      </c>
      <c r="B118" s="186"/>
      <c r="C118" s="79" t="s">
        <v>110</v>
      </c>
      <c r="D118" s="187">
        <f>D113*10%</f>
        <v>0</v>
      </c>
      <c r="E118" s="188"/>
      <c r="F118" s="188"/>
      <c r="G118" s="188"/>
      <c r="H118" s="188"/>
      <c r="I118" s="207"/>
      <c r="J118" s="185" t="s">
        <v>113</v>
      </c>
      <c r="K118" s="186"/>
      <c r="L118" s="79" t="s">
        <v>116</v>
      </c>
      <c r="M118" s="187">
        <f>M113*10%</f>
        <v>0</v>
      </c>
      <c r="N118" s="188"/>
      <c r="O118" s="188"/>
      <c r="P118" s="188"/>
      <c r="Q118" s="69"/>
    </row>
    <row r="119" spans="1:17" ht="26.25" customHeight="1" x14ac:dyDescent="0.25">
      <c r="A119" s="185" t="s">
        <v>108</v>
      </c>
      <c r="B119" s="186"/>
      <c r="C119" s="79" t="s">
        <v>111</v>
      </c>
      <c r="D119" s="187">
        <f>D114*10%</f>
        <v>0</v>
      </c>
      <c r="E119" s="188"/>
      <c r="F119" s="188"/>
      <c r="G119" s="188"/>
      <c r="H119" s="188"/>
      <c r="I119" s="207"/>
      <c r="J119" s="185" t="s">
        <v>114</v>
      </c>
      <c r="K119" s="186"/>
      <c r="L119" s="79" t="s">
        <v>117</v>
      </c>
      <c r="M119" s="187">
        <f>M114*10%</f>
        <v>0</v>
      </c>
      <c r="N119" s="188"/>
      <c r="O119" s="188"/>
      <c r="P119" s="188"/>
      <c r="Q119" s="69"/>
    </row>
    <row r="120" spans="1:17" ht="26.25" customHeight="1" thickBot="1" x14ac:dyDescent="0.3">
      <c r="A120" s="193"/>
      <c r="B120" s="194"/>
      <c r="C120" s="204" t="s">
        <v>118</v>
      </c>
      <c r="D120" s="205"/>
      <c r="E120" s="205"/>
      <c r="F120" s="205"/>
      <c r="G120" s="205"/>
      <c r="H120" s="205"/>
      <c r="I120" s="205"/>
      <c r="J120" s="205"/>
      <c r="K120" s="206"/>
      <c r="L120" s="102" t="s">
        <v>157</v>
      </c>
      <c r="M120" s="195">
        <f>D117+D118+D119+M117+M118+M119</f>
        <v>0</v>
      </c>
      <c r="N120" s="196"/>
      <c r="O120" s="196"/>
      <c r="P120" s="197"/>
      <c r="Q120" s="69"/>
    </row>
    <row r="121" spans="1:17" ht="25.5" customHeight="1" x14ac:dyDescent="0.25">
      <c r="A121" s="232" t="s">
        <v>123</v>
      </c>
      <c r="B121" s="233"/>
      <c r="C121" s="198" t="s">
        <v>142</v>
      </c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200"/>
      <c r="Q121" s="97"/>
    </row>
    <row r="122" spans="1:17" ht="26.25" customHeight="1" x14ac:dyDescent="0.25">
      <c r="A122" s="185" t="s">
        <v>106</v>
      </c>
      <c r="B122" s="186"/>
      <c r="C122" s="86" t="s">
        <v>109</v>
      </c>
      <c r="D122" s="189"/>
      <c r="E122" s="190"/>
      <c r="F122" s="190"/>
      <c r="G122" s="190"/>
      <c r="H122" s="190"/>
      <c r="I122" s="191"/>
      <c r="J122" s="185" t="s">
        <v>112</v>
      </c>
      <c r="K122" s="186"/>
      <c r="L122" s="86" t="s">
        <v>115</v>
      </c>
      <c r="M122" s="189"/>
      <c r="N122" s="190"/>
      <c r="O122" s="190"/>
      <c r="P122" s="192"/>
      <c r="Q122" s="231"/>
    </row>
    <row r="123" spans="1:17" ht="26.25" customHeight="1" x14ac:dyDescent="0.25">
      <c r="A123" s="185" t="s">
        <v>107</v>
      </c>
      <c r="B123" s="186"/>
      <c r="C123" s="86" t="s">
        <v>110</v>
      </c>
      <c r="D123" s="189"/>
      <c r="E123" s="190"/>
      <c r="F123" s="190"/>
      <c r="G123" s="190"/>
      <c r="H123" s="190"/>
      <c r="I123" s="191"/>
      <c r="J123" s="185" t="s">
        <v>113</v>
      </c>
      <c r="K123" s="186"/>
      <c r="L123" s="86" t="s">
        <v>116</v>
      </c>
      <c r="M123" s="189"/>
      <c r="N123" s="190"/>
      <c r="O123" s="190"/>
      <c r="P123" s="192"/>
      <c r="Q123" s="231"/>
    </row>
    <row r="124" spans="1:17" ht="26.25" customHeight="1" x14ac:dyDescent="0.25">
      <c r="A124" s="185" t="s">
        <v>108</v>
      </c>
      <c r="B124" s="186"/>
      <c r="C124" s="86" t="s">
        <v>111</v>
      </c>
      <c r="D124" s="189"/>
      <c r="E124" s="190"/>
      <c r="F124" s="190"/>
      <c r="G124" s="190"/>
      <c r="H124" s="190"/>
      <c r="I124" s="191"/>
      <c r="J124" s="185" t="s">
        <v>114</v>
      </c>
      <c r="K124" s="186"/>
      <c r="L124" s="86" t="s">
        <v>117</v>
      </c>
      <c r="M124" s="189"/>
      <c r="N124" s="190"/>
      <c r="O124" s="190"/>
      <c r="P124" s="192"/>
      <c r="Q124" s="231"/>
    </row>
    <row r="125" spans="1:17" ht="26.25" customHeight="1" thickBot="1" x14ac:dyDescent="0.3">
      <c r="A125" s="193"/>
      <c r="B125" s="194"/>
      <c r="C125" s="204" t="s">
        <v>118</v>
      </c>
      <c r="D125" s="205"/>
      <c r="E125" s="205"/>
      <c r="F125" s="205"/>
      <c r="G125" s="205"/>
      <c r="H125" s="205"/>
      <c r="I125" s="205"/>
      <c r="J125" s="205"/>
      <c r="K125" s="206"/>
      <c r="L125" s="102" t="s">
        <v>157</v>
      </c>
      <c r="M125" s="195">
        <f>D122+D123+D124+M122+M123+M124</f>
        <v>0</v>
      </c>
      <c r="N125" s="196"/>
      <c r="O125" s="196"/>
      <c r="P125" s="197"/>
      <c r="Q125" s="97"/>
    </row>
    <row r="126" spans="1:17" ht="25.5" customHeight="1" x14ac:dyDescent="0.25">
      <c r="A126" s="232" t="s">
        <v>144</v>
      </c>
      <c r="B126" s="233"/>
      <c r="C126" s="198" t="s">
        <v>143</v>
      </c>
      <c r="D126" s="199"/>
      <c r="E126" s="199"/>
      <c r="F126" s="199"/>
      <c r="G126" s="199"/>
      <c r="H126" s="199"/>
      <c r="I126" s="199"/>
      <c r="J126" s="199"/>
      <c r="K126" s="199"/>
      <c r="L126" s="199"/>
      <c r="M126" s="199" t="e">
        <f>#REF!</f>
        <v>#REF!</v>
      </c>
      <c r="N126" s="199"/>
      <c r="O126" s="199"/>
      <c r="P126" s="200"/>
      <c r="Q126" s="97"/>
    </row>
    <row r="127" spans="1:17" ht="26.25" customHeight="1" x14ac:dyDescent="0.25">
      <c r="A127" s="185" t="s">
        <v>106</v>
      </c>
      <c r="B127" s="186"/>
      <c r="C127" s="86" t="s">
        <v>109</v>
      </c>
      <c r="D127" s="189"/>
      <c r="E127" s="190"/>
      <c r="F127" s="190"/>
      <c r="G127" s="190"/>
      <c r="H127" s="190"/>
      <c r="I127" s="191"/>
      <c r="J127" s="185" t="s">
        <v>112</v>
      </c>
      <c r="K127" s="186"/>
      <c r="L127" s="86" t="s">
        <v>115</v>
      </c>
      <c r="M127" s="189"/>
      <c r="N127" s="190"/>
      <c r="O127" s="190"/>
      <c r="P127" s="192"/>
      <c r="Q127" s="98"/>
    </row>
    <row r="128" spans="1:17" ht="26.25" customHeight="1" x14ac:dyDescent="0.25">
      <c r="A128" s="185" t="s">
        <v>107</v>
      </c>
      <c r="B128" s="186"/>
      <c r="C128" s="86" t="s">
        <v>110</v>
      </c>
      <c r="D128" s="189"/>
      <c r="E128" s="190"/>
      <c r="F128" s="190"/>
      <c r="G128" s="190"/>
      <c r="H128" s="190"/>
      <c r="I128" s="191"/>
      <c r="J128" s="185" t="s">
        <v>113</v>
      </c>
      <c r="K128" s="186"/>
      <c r="L128" s="86" t="s">
        <v>116</v>
      </c>
      <c r="M128" s="189"/>
      <c r="N128" s="190"/>
      <c r="O128" s="190"/>
      <c r="P128" s="192"/>
      <c r="Q128" s="98"/>
    </row>
    <row r="129" spans="1:17" ht="26.25" customHeight="1" x14ac:dyDescent="0.25">
      <c r="A129" s="185" t="s">
        <v>108</v>
      </c>
      <c r="B129" s="186"/>
      <c r="C129" s="86" t="s">
        <v>111</v>
      </c>
      <c r="D129" s="189"/>
      <c r="E129" s="190"/>
      <c r="F129" s="190"/>
      <c r="G129" s="190"/>
      <c r="H129" s="190"/>
      <c r="I129" s="191"/>
      <c r="J129" s="185" t="s">
        <v>114</v>
      </c>
      <c r="K129" s="186"/>
      <c r="L129" s="86" t="s">
        <v>117</v>
      </c>
      <c r="M129" s="189"/>
      <c r="N129" s="190"/>
      <c r="O129" s="190"/>
      <c r="P129" s="192"/>
      <c r="Q129" s="98"/>
    </row>
    <row r="130" spans="1:17" ht="26.25" customHeight="1" thickBot="1" x14ac:dyDescent="0.3">
      <c r="A130" s="193"/>
      <c r="B130" s="194"/>
      <c r="C130" s="204" t="s">
        <v>118</v>
      </c>
      <c r="D130" s="205"/>
      <c r="E130" s="205"/>
      <c r="F130" s="205"/>
      <c r="G130" s="205"/>
      <c r="H130" s="205"/>
      <c r="I130" s="205"/>
      <c r="J130" s="205"/>
      <c r="K130" s="206"/>
      <c r="L130" s="102" t="s">
        <v>157</v>
      </c>
      <c r="M130" s="195">
        <f>D127+D128+D129+M127+M128+M129</f>
        <v>0</v>
      </c>
      <c r="N130" s="196"/>
      <c r="O130" s="196"/>
      <c r="P130" s="197"/>
      <c r="Q130" s="97"/>
    </row>
    <row r="131" spans="1:17" ht="25.5" customHeight="1" x14ac:dyDescent="0.25">
      <c r="A131" s="167" t="s">
        <v>164</v>
      </c>
      <c r="B131" s="168"/>
      <c r="C131" s="198" t="s">
        <v>207</v>
      </c>
      <c r="D131" s="199"/>
      <c r="E131" s="199"/>
      <c r="F131" s="199"/>
      <c r="G131" s="199"/>
      <c r="H131" s="199"/>
      <c r="I131" s="199"/>
      <c r="J131" s="199"/>
      <c r="K131" s="199"/>
      <c r="L131" s="199"/>
      <c r="M131" s="199" t="e">
        <f>#REF!</f>
        <v>#REF!</v>
      </c>
      <c r="N131" s="199"/>
      <c r="O131" s="199"/>
      <c r="P131" s="200"/>
      <c r="Q131" s="69"/>
    </row>
    <row r="132" spans="1:17" ht="26.25" customHeight="1" x14ac:dyDescent="0.25">
      <c r="A132" s="185" t="s">
        <v>106</v>
      </c>
      <c r="B132" s="186"/>
      <c r="C132" s="80" t="s">
        <v>109</v>
      </c>
      <c r="D132" s="187">
        <f>'№ 2.1 Начис. доходы работников'!Z26+'№ 4 договора ГПХ'!J15/введение!C22</f>
        <v>0</v>
      </c>
      <c r="E132" s="188"/>
      <c r="F132" s="188"/>
      <c r="G132" s="188"/>
      <c r="H132" s="188"/>
      <c r="I132" s="207"/>
      <c r="J132" s="185" t="s">
        <v>112</v>
      </c>
      <c r="K132" s="186"/>
      <c r="L132" s="80" t="s">
        <v>115</v>
      </c>
      <c r="M132" s="187">
        <f>'№ 2.4 Начис. доходы работ'!Z26+'№ 4 договора ГПХ'!P15/введение!C22</f>
        <v>0</v>
      </c>
      <c r="N132" s="188"/>
      <c r="O132" s="188"/>
      <c r="P132" s="188"/>
      <c r="Q132" s="69"/>
    </row>
    <row r="133" spans="1:17" ht="26.25" customHeight="1" x14ac:dyDescent="0.25">
      <c r="A133" s="185" t="s">
        <v>107</v>
      </c>
      <c r="B133" s="186"/>
      <c r="C133" s="80" t="s">
        <v>110</v>
      </c>
      <c r="D133" s="187">
        <f>'№ 2.2 Начис.доходы работников'!Z26+'№ 4 договора ГПХ'!L15/введение!C22</f>
        <v>0</v>
      </c>
      <c r="E133" s="188"/>
      <c r="F133" s="188"/>
      <c r="G133" s="188"/>
      <c r="H133" s="188"/>
      <c r="I133" s="304"/>
      <c r="J133" s="185" t="s">
        <v>113</v>
      </c>
      <c r="K133" s="186"/>
      <c r="L133" s="80" t="s">
        <v>116</v>
      </c>
      <c r="M133" s="187">
        <f>'№ 2.5 Начис. доходы работ. '!Z26+'№ 4 договора ГПХ'!R15/введение!C22</f>
        <v>0</v>
      </c>
      <c r="N133" s="188"/>
      <c r="O133" s="188"/>
      <c r="P133" s="188"/>
      <c r="Q133" s="69"/>
    </row>
    <row r="134" spans="1:17" ht="26.25" customHeight="1" x14ac:dyDescent="0.25">
      <c r="A134" s="185" t="s">
        <v>108</v>
      </c>
      <c r="B134" s="186"/>
      <c r="C134" s="80" t="s">
        <v>111</v>
      </c>
      <c r="D134" s="187">
        <f>'№ 2.3 Начис. доходы работ'!Z26+'№ 4 договора ГПХ'!N15/введение!C22</f>
        <v>0</v>
      </c>
      <c r="E134" s="188"/>
      <c r="F134" s="188"/>
      <c r="G134" s="188"/>
      <c r="H134" s="188"/>
      <c r="I134" s="207"/>
      <c r="J134" s="185" t="s">
        <v>114</v>
      </c>
      <c r="K134" s="186"/>
      <c r="L134" s="80" t="s">
        <v>117</v>
      </c>
      <c r="M134" s="187">
        <f>'№ 2.6 Начис. доходы работ. '!Z26+'№ 4 договора ГПХ'!T15/введение!C22</f>
        <v>0</v>
      </c>
      <c r="N134" s="188"/>
      <c r="O134" s="188"/>
      <c r="P134" s="188"/>
      <c r="Q134" s="69"/>
    </row>
    <row r="135" spans="1:17" ht="26.25" customHeight="1" thickBot="1" x14ac:dyDescent="0.3">
      <c r="A135" s="193"/>
      <c r="B135" s="194"/>
      <c r="C135" s="204" t="s">
        <v>118</v>
      </c>
      <c r="D135" s="205"/>
      <c r="E135" s="205"/>
      <c r="F135" s="205"/>
      <c r="G135" s="205"/>
      <c r="H135" s="205"/>
      <c r="I135" s="205"/>
      <c r="J135" s="205"/>
      <c r="K135" s="206"/>
      <c r="L135" s="102" t="s">
        <v>157</v>
      </c>
      <c r="M135" s="195">
        <f>D132+D133+D134+M132+M133+M134</f>
        <v>0</v>
      </c>
      <c r="N135" s="196"/>
      <c r="O135" s="196"/>
      <c r="P135" s="197"/>
      <c r="Q135" s="69"/>
    </row>
    <row r="136" spans="1:17" ht="15.75" thickBot="1" x14ac:dyDescent="0.3">
      <c r="A136" s="232" t="s">
        <v>194</v>
      </c>
      <c r="B136" s="233"/>
      <c r="C136" s="301" t="s">
        <v>208</v>
      </c>
      <c r="D136" s="302"/>
      <c r="E136" s="302"/>
      <c r="F136" s="302"/>
      <c r="G136" s="302"/>
      <c r="H136" s="302"/>
      <c r="I136" s="302"/>
      <c r="J136" s="302"/>
      <c r="K136" s="302"/>
      <c r="L136" s="302"/>
      <c r="M136" s="302"/>
      <c r="N136" s="302"/>
      <c r="O136" s="302"/>
      <c r="P136" s="303"/>
    </row>
    <row r="137" spans="1:17" ht="26.25" customHeight="1" x14ac:dyDescent="0.25">
      <c r="A137" s="185" t="s">
        <v>106</v>
      </c>
      <c r="B137" s="186"/>
      <c r="C137" s="81" t="s">
        <v>109</v>
      </c>
      <c r="D137" s="187">
        <f>'№ 2.1 Начис. доходы работников'!AA26+'№ 2.1 Начис. доходы работников'!AB26+'№ 4 договора ГПХ'!J15</f>
        <v>0</v>
      </c>
      <c r="E137" s="188"/>
      <c r="F137" s="188"/>
      <c r="G137" s="188"/>
      <c r="H137" s="188"/>
      <c r="I137" s="207"/>
      <c r="J137" s="185" t="s">
        <v>112</v>
      </c>
      <c r="K137" s="186"/>
      <c r="L137" s="81" t="s">
        <v>115</v>
      </c>
      <c r="M137" s="187">
        <f>'№ 2.4 Начис. доходы работ'!AA26+'№ 2.4 Начис. доходы работ'!AB26+'№ 4 договора ГПХ'!P15</f>
        <v>0</v>
      </c>
      <c r="N137" s="188"/>
      <c r="O137" s="188"/>
      <c r="P137" s="188"/>
      <c r="Q137" s="69"/>
    </row>
    <row r="138" spans="1:17" ht="26.25" customHeight="1" x14ac:dyDescent="0.25">
      <c r="A138" s="185" t="s">
        <v>107</v>
      </c>
      <c r="B138" s="186"/>
      <c r="C138" s="81" t="s">
        <v>110</v>
      </c>
      <c r="D138" s="187">
        <f>'№ 2.2 Начис.доходы работников'!AA26+'№ 2.2 Начис.доходы работников'!AB26+'№ 4 договора ГПХ'!L15</f>
        <v>0</v>
      </c>
      <c r="E138" s="188"/>
      <c r="F138" s="188"/>
      <c r="G138" s="188"/>
      <c r="H138" s="188"/>
      <c r="I138" s="207"/>
      <c r="J138" s="185" t="s">
        <v>113</v>
      </c>
      <c r="K138" s="186"/>
      <c r="L138" s="81" t="s">
        <v>116</v>
      </c>
      <c r="M138" s="187">
        <f>'№ 2.5 Начис. доходы работ. '!AA26+'№ 2.5 Начис. доходы работ. '!AB26+'№ 4 договора ГПХ'!R15</f>
        <v>0</v>
      </c>
      <c r="N138" s="188"/>
      <c r="O138" s="188"/>
      <c r="P138" s="188"/>
      <c r="Q138" s="69"/>
    </row>
    <row r="139" spans="1:17" ht="26.25" customHeight="1" x14ac:dyDescent="0.25">
      <c r="A139" s="185" t="s">
        <v>108</v>
      </c>
      <c r="B139" s="186"/>
      <c r="C139" s="81" t="s">
        <v>111</v>
      </c>
      <c r="D139" s="187">
        <f>'№ 2.3 Начис. доходы работ'!AA26+'№ 2.3 Начис. доходы работ'!AB26+'№ 4 договора ГПХ'!N15</f>
        <v>0</v>
      </c>
      <c r="E139" s="188"/>
      <c r="F139" s="188"/>
      <c r="G139" s="188"/>
      <c r="H139" s="188"/>
      <c r="I139" s="207"/>
      <c r="J139" s="185" t="s">
        <v>114</v>
      </c>
      <c r="K139" s="186"/>
      <c r="L139" s="81" t="s">
        <v>117</v>
      </c>
      <c r="M139" s="187">
        <f>'№ 2.6 Начис. доходы работ. '!AA26+'№ 2.6 Начис. доходы работ. '!AB26+'№ 4 договора ГПХ'!T15</f>
        <v>0</v>
      </c>
      <c r="N139" s="188"/>
      <c r="O139" s="188"/>
      <c r="P139" s="188"/>
      <c r="Q139" s="69"/>
    </row>
    <row r="140" spans="1:17" ht="26.25" customHeight="1" thickBot="1" x14ac:dyDescent="0.3">
      <c r="A140" s="193"/>
      <c r="B140" s="194"/>
      <c r="C140" s="204" t="s">
        <v>118</v>
      </c>
      <c r="D140" s="205"/>
      <c r="E140" s="205"/>
      <c r="F140" s="205"/>
      <c r="G140" s="205"/>
      <c r="H140" s="205"/>
      <c r="I140" s="205"/>
      <c r="J140" s="205"/>
      <c r="K140" s="206"/>
      <c r="L140" s="102" t="s">
        <v>157</v>
      </c>
      <c r="M140" s="195">
        <f>D137+D138+D139+M137+M138+M139</f>
        <v>0</v>
      </c>
      <c r="N140" s="196"/>
      <c r="O140" s="196"/>
      <c r="P140" s="197"/>
      <c r="Q140" s="69"/>
    </row>
    <row r="141" spans="1:17" ht="15" customHeight="1" x14ac:dyDescent="0.25">
      <c r="A141" s="179" t="s">
        <v>195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1"/>
      <c r="Q141" s="299" t="s">
        <v>219</v>
      </c>
    </row>
    <row r="142" spans="1:17" ht="15.75" thickBot="1" x14ac:dyDescent="0.3">
      <c r="A142" s="182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4"/>
      <c r="Q142" s="300"/>
    </row>
    <row r="143" spans="1:17" x14ac:dyDescent="0.25">
      <c r="A143" s="232" t="s">
        <v>197</v>
      </c>
      <c r="B143" s="233"/>
      <c r="C143" s="287" t="s">
        <v>204</v>
      </c>
      <c r="D143" s="288"/>
      <c r="E143" s="288"/>
      <c r="F143" s="288"/>
      <c r="G143" s="288"/>
      <c r="H143" s="288"/>
      <c r="I143" s="288"/>
      <c r="J143" s="288"/>
      <c r="K143" s="288"/>
      <c r="L143" s="288"/>
      <c r="M143" s="288"/>
      <c r="N143" s="288"/>
      <c r="O143" s="288"/>
      <c r="P143" s="308"/>
    </row>
    <row r="144" spans="1:17" ht="16.5" customHeight="1" x14ac:dyDescent="0.25">
      <c r="A144" s="138"/>
      <c r="B144" s="139"/>
      <c r="C144" s="143" t="s">
        <v>198</v>
      </c>
      <c r="D144" s="305" t="s">
        <v>203</v>
      </c>
      <c r="E144" s="306"/>
      <c r="F144" s="306"/>
      <c r="G144" s="306"/>
      <c r="H144" s="306"/>
      <c r="I144" s="306"/>
      <c r="J144" s="306"/>
      <c r="K144" s="306"/>
      <c r="L144" s="307"/>
      <c r="M144" s="161"/>
      <c r="N144" s="162"/>
      <c r="O144" s="162"/>
      <c r="P144" s="163"/>
    </row>
    <row r="145" spans="1:17" x14ac:dyDescent="0.25">
      <c r="A145" s="140"/>
      <c r="B145" s="137"/>
      <c r="C145" s="143" t="s">
        <v>199</v>
      </c>
      <c r="D145" s="305" t="s">
        <v>202</v>
      </c>
      <c r="E145" s="306"/>
      <c r="F145" s="306"/>
      <c r="G145" s="306"/>
      <c r="H145" s="306"/>
      <c r="I145" s="306"/>
      <c r="J145" s="306"/>
      <c r="K145" s="306"/>
      <c r="L145" s="307"/>
      <c r="M145" s="164"/>
      <c r="N145" s="165"/>
      <c r="O145" s="165"/>
      <c r="P145" s="166"/>
    </row>
    <row r="146" spans="1:17" x14ac:dyDescent="0.25">
      <c r="A146" s="141"/>
      <c r="B146" s="142"/>
      <c r="C146" s="143" t="s">
        <v>200</v>
      </c>
      <c r="D146" s="305" t="s">
        <v>201</v>
      </c>
      <c r="E146" s="306"/>
      <c r="F146" s="306"/>
      <c r="G146" s="306"/>
      <c r="H146" s="306"/>
      <c r="I146" s="306"/>
      <c r="J146" s="306"/>
      <c r="K146" s="306"/>
      <c r="L146" s="307"/>
      <c r="M146" s="164"/>
      <c r="N146" s="165"/>
      <c r="O146" s="165"/>
      <c r="P146" s="166"/>
    </row>
    <row r="147" spans="1:17" ht="15" customHeight="1" x14ac:dyDescent="0.25">
      <c r="A147" s="179" t="s">
        <v>165</v>
      </c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1"/>
      <c r="Q147" s="299" t="s">
        <v>219</v>
      </c>
    </row>
    <row r="148" spans="1:17" ht="15.75" thickBot="1" x14ac:dyDescent="0.3">
      <c r="A148" s="182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4"/>
      <c r="Q148" s="300"/>
    </row>
    <row r="149" spans="1:17" ht="33" customHeight="1" x14ac:dyDescent="0.25">
      <c r="A149" s="167" t="s">
        <v>196</v>
      </c>
      <c r="B149" s="168"/>
      <c r="C149" s="198" t="s">
        <v>166</v>
      </c>
      <c r="D149" s="199"/>
      <c r="E149" s="199"/>
      <c r="F149" s="199"/>
      <c r="G149" s="199"/>
      <c r="H149" s="199"/>
      <c r="I149" s="199"/>
      <c r="J149" s="199"/>
      <c r="K149" s="199"/>
      <c r="L149" s="199"/>
      <c r="M149" s="201"/>
      <c r="N149" s="202"/>
      <c r="O149" s="202"/>
      <c r="P149" s="203"/>
      <c r="Q149" s="101"/>
    </row>
    <row r="150" spans="1:17" x14ac:dyDescent="0.25">
      <c r="A150" s="257" t="s">
        <v>57</v>
      </c>
      <c r="B150" s="258"/>
      <c r="C150" s="258"/>
      <c r="D150" s="258"/>
      <c r="E150" s="258"/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  <c r="P150" s="259"/>
    </row>
    <row r="151" spans="1:17" ht="15.75" thickBot="1" x14ac:dyDescent="0.3">
      <c r="A151" s="260"/>
      <c r="B151" s="261"/>
      <c r="C151" s="261"/>
      <c r="D151" s="261"/>
      <c r="E151" s="261"/>
      <c r="F151" s="261"/>
      <c r="G151" s="261"/>
      <c r="H151" s="261"/>
      <c r="I151" s="261"/>
      <c r="J151" s="261"/>
      <c r="K151" s="261"/>
      <c r="L151" s="261"/>
      <c r="M151" s="261"/>
      <c r="N151" s="261"/>
      <c r="O151" s="261"/>
      <c r="P151" s="262"/>
    </row>
  </sheetData>
  <mergeCells count="334">
    <mergeCell ref="Q141:Q142"/>
    <mergeCell ref="Q147:Q148"/>
    <mergeCell ref="C136:P136"/>
    <mergeCell ref="A135:B135"/>
    <mergeCell ref="M135:P135"/>
    <mergeCell ref="C131:P131"/>
    <mergeCell ref="A132:B132"/>
    <mergeCell ref="D132:I132"/>
    <mergeCell ref="J132:K132"/>
    <mergeCell ref="M132:P132"/>
    <mergeCell ref="A133:B133"/>
    <mergeCell ref="D133:I133"/>
    <mergeCell ref="J133:K133"/>
    <mergeCell ref="M133:P133"/>
    <mergeCell ref="A134:B134"/>
    <mergeCell ref="D134:I134"/>
    <mergeCell ref="J134:K134"/>
    <mergeCell ref="M134:P134"/>
    <mergeCell ref="M146:P146"/>
    <mergeCell ref="D144:L144"/>
    <mergeCell ref="D145:L145"/>
    <mergeCell ref="D146:L146"/>
    <mergeCell ref="A143:B143"/>
    <mergeCell ref="C143:P143"/>
    <mergeCell ref="J109:K109"/>
    <mergeCell ref="M109:P109"/>
    <mergeCell ref="A110:B110"/>
    <mergeCell ref="M110:P110"/>
    <mergeCell ref="A106:B106"/>
    <mergeCell ref="C106:P106"/>
    <mergeCell ref="A107:B107"/>
    <mergeCell ref="D107:I107"/>
    <mergeCell ref="J107:K107"/>
    <mergeCell ref="M107:P107"/>
    <mergeCell ref="A108:B108"/>
    <mergeCell ref="D108:I108"/>
    <mergeCell ref="J108:K108"/>
    <mergeCell ref="M108:P108"/>
    <mergeCell ref="D109:I109"/>
    <mergeCell ref="A109:B109"/>
    <mergeCell ref="A42:B45"/>
    <mergeCell ref="Q97:Q99"/>
    <mergeCell ref="C96:P96"/>
    <mergeCell ref="A78:B78"/>
    <mergeCell ref="M78:P78"/>
    <mergeCell ref="A76:B76"/>
    <mergeCell ref="D76:I76"/>
    <mergeCell ref="J76:K76"/>
    <mergeCell ref="M76:P76"/>
    <mergeCell ref="A77:B77"/>
    <mergeCell ref="D77:I77"/>
    <mergeCell ref="J77:K77"/>
    <mergeCell ref="M77:P77"/>
    <mergeCell ref="J81:K81"/>
    <mergeCell ref="M81:P81"/>
    <mergeCell ref="A82:B82"/>
    <mergeCell ref="J82:K82"/>
    <mergeCell ref="M82:P82"/>
    <mergeCell ref="A83:B83"/>
    <mergeCell ref="M83:P83"/>
    <mergeCell ref="C79:P79"/>
    <mergeCell ref="A79:B79"/>
    <mergeCell ref="A80:B80"/>
    <mergeCell ref="Q62:Q63"/>
    <mergeCell ref="J71:K71"/>
    <mergeCell ref="M71:P71"/>
    <mergeCell ref="A72:B72"/>
    <mergeCell ref="D72:I72"/>
    <mergeCell ref="J72:K72"/>
    <mergeCell ref="M72:P72"/>
    <mergeCell ref="C74:P74"/>
    <mergeCell ref="A73:B73"/>
    <mergeCell ref="M73:P73"/>
    <mergeCell ref="A116:B116"/>
    <mergeCell ref="C35:L35"/>
    <mergeCell ref="M35:P35"/>
    <mergeCell ref="A33:P34"/>
    <mergeCell ref="A36:B37"/>
    <mergeCell ref="A38:B39"/>
    <mergeCell ref="A68:B68"/>
    <mergeCell ref="M68:P68"/>
    <mergeCell ref="C69:P69"/>
    <mergeCell ref="A70:B70"/>
    <mergeCell ref="D70:I70"/>
    <mergeCell ref="J70:K70"/>
    <mergeCell ref="M70:P70"/>
    <mergeCell ref="A66:B66"/>
    <mergeCell ref="D66:I66"/>
    <mergeCell ref="J66:K66"/>
    <mergeCell ref="M66:P66"/>
    <mergeCell ref="A67:B67"/>
    <mergeCell ref="D67:I67"/>
    <mergeCell ref="J67:K67"/>
    <mergeCell ref="M67:P67"/>
    <mergeCell ref="C38:L39"/>
    <mergeCell ref="A62:P62"/>
    <mergeCell ref="C54:L55"/>
    <mergeCell ref="D86:I86"/>
    <mergeCell ref="A81:B81"/>
    <mergeCell ref="D81:I81"/>
    <mergeCell ref="A150:P151"/>
    <mergeCell ref="N2:P2"/>
    <mergeCell ref="B6:L6"/>
    <mergeCell ref="J12:K12"/>
    <mergeCell ref="E22:F22"/>
    <mergeCell ref="M20:O20"/>
    <mergeCell ref="G20:K20"/>
    <mergeCell ref="N16:O16"/>
    <mergeCell ref="N18:O18"/>
    <mergeCell ref="B23:O23"/>
    <mergeCell ref="M36:P37"/>
    <mergeCell ref="B28:D28"/>
    <mergeCell ref="M38:P39"/>
    <mergeCell ref="A35:B35"/>
    <mergeCell ref="A40:B41"/>
    <mergeCell ref="C40:L41"/>
    <mergeCell ref="M40:P41"/>
    <mergeCell ref="M48:P49"/>
    <mergeCell ref="A136:B136"/>
    <mergeCell ref="A111:B111"/>
    <mergeCell ref="A75:B75"/>
    <mergeCell ref="D75:I75"/>
    <mergeCell ref="J75:K75"/>
    <mergeCell ref="M75:P75"/>
    <mergeCell ref="A121:B121"/>
    <mergeCell ref="D82:I82"/>
    <mergeCell ref="A56:B57"/>
    <mergeCell ref="C56:L57"/>
    <mergeCell ref="M56:P57"/>
    <mergeCell ref="A69:B69"/>
    <mergeCell ref="A74:B74"/>
    <mergeCell ref="A64:B64"/>
    <mergeCell ref="C64:P64"/>
    <mergeCell ref="A65:B65"/>
    <mergeCell ref="D80:I80"/>
    <mergeCell ref="J80:K80"/>
    <mergeCell ref="M80:P80"/>
    <mergeCell ref="A84:B84"/>
    <mergeCell ref="C84:P84"/>
    <mergeCell ref="A85:B85"/>
    <mergeCell ref="D85:I85"/>
    <mergeCell ref="J85:K85"/>
    <mergeCell ref="M85:P85"/>
    <mergeCell ref="A86:B86"/>
    <mergeCell ref="A91:B91"/>
    <mergeCell ref="Q46:Q47"/>
    <mergeCell ref="M52:P53"/>
    <mergeCell ref="A54:B55"/>
    <mergeCell ref="M54:P55"/>
    <mergeCell ref="A52:B53"/>
    <mergeCell ref="C52:L53"/>
    <mergeCell ref="M50:P51"/>
    <mergeCell ref="A50:B51"/>
    <mergeCell ref="A46:B47"/>
    <mergeCell ref="C46:L47"/>
    <mergeCell ref="M46:P47"/>
    <mergeCell ref="A48:B49"/>
    <mergeCell ref="C50:L51"/>
    <mergeCell ref="C48:L49"/>
    <mergeCell ref="A89:P90"/>
    <mergeCell ref="A93:B93"/>
    <mergeCell ref="D93:I93"/>
    <mergeCell ref="J93:K93"/>
    <mergeCell ref="M93:P93"/>
    <mergeCell ref="A87:B87"/>
    <mergeCell ref="D87:I87"/>
    <mergeCell ref="J87:K87"/>
    <mergeCell ref="M87:P87"/>
    <mergeCell ref="A88:B88"/>
    <mergeCell ref="M88:P88"/>
    <mergeCell ref="D99:I99"/>
    <mergeCell ref="J99:K99"/>
    <mergeCell ref="M99:P99"/>
    <mergeCell ref="A96:B96"/>
    <mergeCell ref="C100:K100"/>
    <mergeCell ref="A92:B92"/>
    <mergeCell ref="D92:I92"/>
    <mergeCell ref="J92:K92"/>
    <mergeCell ref="M92:P92"/>
    <mergeCell ref="D113:I113"/>
    <mergeCell ref="J113:K113"/>
    <mergeCell ref="M113:P113"/>
    <mergeCell ref="A114:B114"/>
    <mergeCell ref="D114:I114"/>
    <mergeCell ref="J114:K114"/>
    <mergeCell ref="M114:P114"/>
    <mergeCell ref="A94:B94"/>
    <mergeCell ref="D94:I94"/>
    <mergeCell ref="J94:K94"/>
    <mergeCell ref="M94:P94"/>
    <mergeCell ref="A95:B95"/>
    <mergeCell ref="M95:P95"/>
    <mergeCell ref="A100:B100"/>
    <mergeCell ref="M100:P100"/>
    <mergeCell ref="A97:B97"/>
    <mergeCell ref="D97:I97"/>
    <mergeCell ref="J97:K97"/>
    <mergeCell ref="M97:P97"/>
    <mergeCell ref="A98:B98"/>
    <mergeCell ref="D98:I98"/>
    <mergeCell ref="J98:K98"/>
    <mergeCell ref="M98:P98"/>
    <mergeCell ref="A99:B99"/>
    <mergeCell ref="A115:B115"/>
    <mergeCell ref="M115:P115"/>
    <mergeCell ref="C111:P111"/>
    <mergeCell ref="A101:B101"/>
    <mergeCell ref="C101:P101"/>
    <mergeCell ref="A102:B102"/>
    <mergeCell ref="D102:I102"/>
    <mergeCell ref="J102:K102"/>
    <mergeCell ref="M102:P102"/>
    <mergeCell ref="A103:B103"/>
    <mergeCell ref="D103:I103"/>
    <mergeCell ref="J103:K103"/>
    <mergeCell ref="M103:P103"/>
    <mergeCell ref="A104:B104"/>
    <mergeCell ref="D104:I104"/>
    <mergeCell ref="J104:K104"/>
    <mergeCell ref="M104:P104"/>
    <mergeCell ref="A105:B105"/>
    <mergeCell ref="M105:P105"/>
    <mergeCell ref="A112:B112"/>
    <mergeCell ref="D112:I112"/>
    <mergeCell ref="J112:K112"/>
    <mergeCell ref="M112:P112"/>
    <mergeCell ref="A113:B113"/>
    <mergeCell ref="D117:I117"/>
    <mergeCell ref="J117:K117"/>
    <mergeCell ref="M117:P117"/>
    <mergeCell ref="A118:B118"/>
    <mergeCell ref="D118:I118"/>
    <mergeCell ref="J118:K118"/>
    <mergeCell ref="M118:P118"/>
    <mergeCell ref="A119:B119"/>
    <mergeCell ref="D119:I119"/>
    <mergeCell ref="J119:K119"/>
    <mergeCell ref="M119:P119"/>
    <mergeCell ref="Q122:Q124"/>
    <mergeCell ref="C126:P126"/>
    <mergeCell ref="A127:B127"/>
    <mergeCell ref="D127:I127"/>
    <mergeCell ref="J127:K127"/>
    <mergeCell ref="M127:P127"/>
    <mergeCell ref="A128:B128"/>
    <mergeCell ref="D128:I128"/>
    <mergeCell ref="J128:K128"/>
    <mergeCell ref="M128:P128"/>
    <mergeCell ref="A124:B124"/>
    <mergeCell ref="D124:I124"/>
    <mergeCell ref="J124:K124"/>
    <mergeCell ref="M124:P124"/>
    <mergeCell ref="A126:B126"/>
    <mergeCell ref="A125:B125"/>
    <mergeCell ref="M125:P125"/>
    <mergeCell ref="A122:B122"/>
    <mergeCell ref="D122:I122"/>
    <mergeCell ref="J122:K122"/>
    <mergeCell ref="M122:P122"/>
    <mergeCell ref="A123:B123"/>
    <mergeCell ref="D123:I123"/>
    <mergeCell ref="J123:K123"/>
    <mergeCell ref="D16:I16"/>
    <mergeCell ref="N17:O17"/>
    <mergeCell ref="D18:I18"/>
    <mergeCell ref="C68:K68"/>
    <mergeCell ref="C73:K73"/>
    <mergeCell ref="C78:K78"/>
    <mergeCell ref="C83:K83"/>
    <mergeCell ref="C88:K88"/>
    <mergeCell ref="C95:K95"/>
    <mergeCell ref="J86:K86"/>
    <mergeCell ref="M86:P86"/>
    <mergeCell ref="C36:L37"/>
    <mergeCell ref="J22:L22"/>
    <mergeCell ref="D42:L42"/>
    <mergeCell ref="D44:L44"/>
    <mergeCell ref="M42:P42"/>
    <mergeCell ref="M44:P44"/>
    <mergeCell ref="C91:P91"/>
    <mergeCell ref="A63:P63"/>
    <mergeCell ref="D65:I65"/>
    <mergeCell ref="J65:K65"/>
    <mergeCell ref="M65:P65"/>
    <mergeCell ref="A71:B71"/>
    <mergeCell ref="D71:I71"/>
    <mergeCell ref="A149:B149"/>
    <mergeCell ref="M149:P149"/>
    <mergeCell ref="C149:L149"/>
    <mergeCell ref="C105:K105"/>
    <mergeCell ref="C115:K115"/>
    <mergeCell ref="C110:K110"/>
    <mergeCell ref="C120:K120"/>
    <mergeCell ref="C125:K125"/>
    <mergeCell ref="C130:K130"/>
    <mergeCell ref="C135:K135"/>
    <mergeCell ref="C140:K140"/>
    <mergeCell ref="A147:P148"/>
    <mergeCell ref="A140:B140"/>
    <mergeCell ref="M140:P140"/>
    <mergeCell ref="A137:B137"/>
    <mergeCell ref="D137:I137"/>
    <mergeCell ref="J137:K137"/>
    <mergeCell ref="M137:P137"/>
    <mergeCell ref="A138:B138"/>
    <mergeCell ref="D138:I138"/>
    <mergeCell ref="J138:K138"/>
    <mergeCell ref="M138:P138"/>
    <mergeCell ref="A139:B139"/>
    <mergeCell ref="D139:I139"/>
    <mergeCell ref="M144:P144"/>
    <mergeCell ref="M145:P145"/>
    <mergeCell ref="A58:B59"/>
    <mergeCell ref="C58:L59"/>
    <mergeCell ref="M58:P59"/>
    <mergeCell ref="A60:B61"/>
    <mergeCell ref="C60:L61"/>
    <mergeCell ref="M60:P61"/>
    <mergeCell ref="A141:P142"/>
    <mergeCell ref="J139:K139"/>
    <mergeCell ref="M139:P139"/>
    <mergeCell ref="A129:B129"/>
    <mergeCell ref="D129:I129"/>
    <mergeCell ref="J129:K129"/>
    <mergeCell ref="M129:P129"/>
    <mergeCell ref="A130:B130"/>
    <mergeCell ref="M130:P130"/>
    <mergeCell ref="A131:B131"/>
    <mergeCell ref="C116:P116"/>
    <mergeCell ref="C121:P121"/>
    <mergeCell ref="A120:B120"/>
    <mergeCell ref="M120:P120"/>
    <mergeCell ref="M123:P123"/>
    <mergeCell ref="A117:B117"/>
  </mergeCells>
  <phoneticPr fontId="1" type="noConversion"/>
  <dataValidations count="1">
    <dataValidation type="whole" allowBlank="1" showInputMessage="1" showErrorMessage="1" error="Введите правильное полугодие" sqref="L12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scale="46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Option Button 12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180975</xdr:rowOff>
                  </from>
                  <to>
                    <xdr:col>3</xdr:col>
                    <xdr:colOff>771525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Option Button 13">
              <controlPr defaultSize="0" autoFill="0" autoLine="0" autoPict="0">
                <anchor moveWithCells="1">
                  <from>
                    <xdr:col>5</xdr:col>
                    <xdr:colOff>247650</xdr:colOff>
                    <xdr:row>21</xdr:row>
                    <xdr:rowOff>200025</xdr:rowOff>
                  </from>
                  <to>
                    <xdr:col>7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Option Button 14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171450</xdr:rowOff>
                  </from>
                  <to>
                    <xdr:col>13</xdr:col>
                    <xdr:colOff>352425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Option Button 15">
              <controlPr defaultSize="0" autoFill="0" autoLine="0" autoPict="0">
                <anchor moveWithCells="1">
                  <from>
                    <xdr:col>14</xdr:col>
                    <xdr:colOff>838200</xdr:colOff>
                    <xdr:row>21</xdr:row>
                    <xdr:rowOff>180975</xdr:rowOff>
                  </from>
                  <to>
                    <xdr:col>14</xdr:col>
                    <xdr:colOff>1590675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Option Button 1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180975</xdr:rowOff>
                  </from>
                  <to>
                    <xdr:col>9</xdr:col>
                    <xdr:colOff>66675</xdr:colOff>
                    <xdr:row>21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H39"/>
  <sheetViews>
    <sheetView zoomScaleNormal="100" workbookViewId="0">
      <selection activeCell="C16" sqref="C16"/>
    </sheetView>
  </sheetViews>
  <sheetFormatPr defaultColWidth="8.7109375" defaultRowHeight="15" x14ac:dyDescent="0.25"/>
  <cols>
    <col min="1" max="1" width="3.42578125" style="17" customWidth="1"/>
    <col min="2" max="2" width="26.28515625" style="17" customWidth="1"/>
    <col min="3" max="4" width="21" style="17" customWidth="1"/>
    <col min="5" max="5" width="17.140625" style="17" customWidth="1"/>
    <col min="6" max="6" width="13" style="17" customWidth="1"/>
    <col min="7" max="7" width="8.42578125" style="17" customWidth="1"/>
    <col min="8" max="16384" width="8.7109375" style="17"/>
  </cols>
  <sheetData>
    <row r="2" spans="1:8" x14ac:dyDescent="0.25">
      <c r="F2" s="18" t="s">
        <v>14</v>
      </c>
    </row>
    <row r="3" spans="1:8" ht="18.75" x14ac:dyDescent="0.3">
      <c r="B3" s="311" t="s">
        <v>65</v>
      </c>
      <c r="C3" s="311"/>
      <c r="D3" s="311"/>
      <c r="E3" s="311"/>
      <c r="F3" s="311"/>
      <c r="G3" s="311"/>
      <c r="H3" s="311"/>
    </row>
    <row r="4" spans="1:8" ht="18.75" x14ac:dyDescent="0.3">
      <c r="B4" s="45"/>
      <c r="C4" s="45"/>
      <c r="D4" s="45"/>
      <c r="E4" s="45"/>
      <c r="F4" s="45"/>
      <c r="G4" s="45"/>
      <c r="H4" s="45"/>
    </row>
    <row r="5" spans="1:8" ht="18.75" x14ac:dyDescent="0.3">
      <c r="B5" s="312" t="s">
        <v>0</v>
      </c>
      <c r="C5" s="312"/>
      <c r="D5" s="312"/>
      <c r="E5" s="312"/>
      <c r="F5" s="312"/>
      <c r="G5" s="312"/>
      <c r="H5" s="45"/>
    </row>
    <row r="6" spans="1:8" x14ac:dyDescent="0.25">
      <c r="A6" s="36"/>
      <c r="B6" s="46"/>
      <c r="C6" s="46"/>
      <c r="D6" s="36"/>
      <c r="E6" s="36"/>
    </row>
    <row r="7" spans="1:8" x14ac:dyDescent="0.25">
      <c r="A7" s="36">
        <v>1</v>
      </c>
      <c r="B7" s="55" t="s">
        <v>15</v>
      </c>
      <c r="C7" s="73">
        <f>'[1]№ 910 Декларация '!D8</f>
        <v>0</v>
      </c>
    </row>
    <row r="8" spans="1:8" ht="15.75" thickBot="1" x14ac:dyDescent="0.3">
      <c r="A8" s="36">
        <v>2</v>
      </c>
      <c r="B8" s="55" t="s">
        <v>66</v>
      </c>
      <c r="C8" s="55"/>
      <c r="D8" s="55"/>
      <c r="E8" s="46"/>
      <c r="F8" s="54">
        <f>'№ 910 Декларация '!L12</f>
        <v>1</v>
      </c>
      <c r="G8" s="17" t="s">
        <v>12</v>
      </c>
      <c r="H8" s="17">
        <f>'№ 910 Декларация '!O12</f>
        <v>2020</v>
      </c>
    </row>
    <row r="9" spans="1:8" x14ac:dyDescent="0.25">
      <c r="A9" s="36"/>
      <c r="B9" s="49"/>
      <c r="C9" s="49"/>
      <c r="D9" s="49"/>
      <c r="E9" s="49"/>
    </row>
    <row r="10" spans="1:8" ht="18.75" customHeight="1" x14ac:dyDescent="0.25"/>
    <row r="11" spans="1:8" x14ac:dyDescent="0.25">
      <c r="A11" s="37"/>
      <c r="B11"/>
      <c r="C11"/>
      <c r="D11"/>
      <c r="E11"/>
    </row>
    <row r="12" spans="1:8" ht="25.5" x14ac:dyDescent="0.25">
      <c r="A12" s="21"/>
      <c r="B12" s="38" t="s">
        <v>58</v>
      </c>
      <c r="C12" s="39" t="s">
        <v>59</v>
      </c>
      <c r="D12" s="39" t="s">
        <v>60</v>
      </c>
      <c r="E12" s="39" t="s">
        <v>61</v>
      </c>
      <c r="F12" s="151"/>
    </row>
    <row r="13" spans="1:8" ht="15" customHeight="1" x14ac:dyDescent="0.25">
      <c r="A13" s="21"/>
      <c r="B13" s="53">
        <v>1</v>
      </c>
      <c r="C13" s="40">
        <v>2</v>
      </c>
      <c r="D13" s="40">
        <v>3</v>
      </c>
      <c r="E13" s="40">
        <v>4</v>
      </c>
      <c r="F13"/>
    </row>
    <row r="14" spans="1:8" x14ac:dyDescent="0.25">
      <c r="A14" s="21">
        <v>1</v>
      </c>
      <c r="B14" s="59" t="s">
        <v>98</v>
      </c>
      <c r="C14" s="145"/>
      <c r="D14" s="145"/>
      <c r="E14" s="145"/>
      <c r="F14"/>
    </row>
    <row r="15" spans="1:8" x14ac:dyDescent="0.25">
      <c r="A15" s="21">
        <v>2</v>
      </c>
      <c r="B15" s="59" t="s">
        <v>99</v>
      </c>
      <c r="C15" s="145"/>
      <c r="D15" s="145"/>
      <c r="E15" s="145"/>
      <c r="F15"/>
    </row>
    <row r="16" spans="1:8" x14ac:dyDescent="0.25">
      <c r="A16" s="21">
        <v>2</v>
      </c>
      <c r="B16" s="59" t="s">
        <v>100</v>
      </c>
      <c r="C16" s="145"/>
      <c r="D16" s="145"/>
      <c r="E16" s="145"/>
      <c r="F16"/>
    </row>
    <row r="17" spans="1:6" x14ac:dyDescent="0.25">
      <c r="A17" s="21">
        <v>4</v>
      </c>
      <c r="B17" s="59" t="s">
        <v>101</v>
      </c>
      <c r="C17" s="145"/>
      <c r="D17" s="145"/>
      <c r="E17" s="145"/>
      <c r="F17"/>
    </row>
    <row r="18" spans="1:6" x14ac:dyDescent="0.25">
      <c r="A18" s="21">
        <v>5</v>
      </c>
      <c r="B18" s="59" t="s">
        <v>102</v>
      </c>
      <c r="C18" s="145"/>
      <c r="D18" s="145"/>
      <c r="E18" s="145"/>
      <c r="F18"/>
    </row>
    <row r="19" spans="1:6" x14ac:dyDescent="0.25">
      <c r="A19" s="21">
        <v>6</v>
      </c>
      <c r="B19" s="59" t="s">
        <v>103</v>
      </c>
      <c r="C19" s="145"/>
      <c r="D19" s="145"/>
      <c r="E19" s="145"/>
      <c r="F19"/>
    </row>
    <row r="20" spans="1:6" x14ac:dyDescent="0.25">
      <c r="A20" s="21">
        <v>13</v>
      </c>
      <c r="B20" s="41" t="s">
        <v>13</v>
      </c>
      <c r="C20" s="152">
        <f>SUM(C14:C19)</f>
        <v>0</v>
      </c>
      <c r="D20" s="152">
        <f>SUM(D14:D19)</f>
        <v>0</v>
      </c>
      <c r="E20" s="152">
        <f>SUM(E14:E19)</f>
        <v>0</v>
      </c>
      <c r="F20"/>
    </row>
    <row r="21" spans="1:6" x14ac:dyDescent="0.25">
      <c r="A21" s="21">
        <v>14</v>
      </c>
      <c r="B21" s="41" t="s">
        <v>13</v>
      </c>
      <c r="C21" s="153">
        <f>C20+D20+E20</f>
        <v>0</v>
      </c>
      <c r="D21" s="153"/>
      <c r="E21" s="153"/>
      <c r="F21"/>
    </row>
    <row r="22" spans="1:6" x14ac:dyDescent="0.25">
      <c r="A22" s="84"/>
      <c r="B22" s="47"/>
      <c r="C22" s="154"/>
      <c r="D22" s="154"/>
      <c r="E22" s="154"/>
      <c r="F22"/>
    </row>
    <row r="23" spans="1:6" x14ac:dyDescent="0.25">
      <c r="A23" s="84"/>
      <c r="B23" s="47"/>
      <c r="C23" s="154"/>
      <c r="D23" s="154"/>
      <c r="E23" s="154"/>
      <c r="F23"/>
    </row>
    <row r="24" spans="1:6" ht="24" customHeight="1" x14ac:dyDescent="0.25">
      <c r="A24" s="84"/>
      <c r="B24" s="85" t="s">
        <v>132</v>
      </c>
      <c r="C24" s="154"/>
      <c r="D24" s="154"/>
      <c r="E24" s="154" t="str">
        <f>IF(C21&lt;2800*[1]введение!C11,"Может применять текущий налоговый режим","НЕОБХОДИМО СМЕНИТЬ НАЛОГОВЫЙ РЕЖИМ!!!!")</f>
        <v>Может применять текущий налоговый режим</v>
      </c>
      <c r="F24"/>
    </row>
    <row r="25" spans="1:6" x14ac:dyDescent="0.25">
      <c r="A25" s="84"/>
      <c r="B25" s="47"/>
      <c r="C25" s="154"/>
      <c r="D25" s="154"/>
      <c r="E25" s="154"/>
      <c r="F25"/>
    </row>
    <row r="26" spans="1:6" x14ac:dyDescent="0.25">
      <c r="A26" s="84"/>
      <c r="B26" s="47"/>
      <c r="C26" s="154"/>
      <c r="D26" s="154"/>
      <c r="E26" s="154"/>
      <c r="F26"/>
    </row>
    <row r="27" spans="1:6" x14ac:dyDescent="0.25">
      <c r="A27" s="84"/>
      <c r="B27" s="47"/>
      <c r="C27" s="154"/>
      <c r="D27" s="154"/>
      <c r="E27" s="154"/>
      <c r="F27"/>
    </row>
    <row r="28" spans="1:6" x14ac:dyDescent="0.25">
      <c r="B28" s="47"/>
      <c r="C28" s="48"/>
      <c r="D28" s="49"/>
      <c r="E28" s="49"/>
      <c r="F28"/>
    </row>
    <row r="29" spans="1:6" x14ac:dyDescent="0.25">
      <c r="A29" s="47"/>
      <c r="B29" s="48"/>
      <c r="C29" s="49"/>
      <c r="D29" s="49"/>
      <c r="F29"/>
    </row>
    <row r="30" spans="1:6" x14ac:dyDescent="0.25">
      <c r="A30" s="50" t="s">
        <v>62</v>
      </c>
      <c r="B30" s="51"/>
      <c r="C30" s="52"/>
      <c r="D30" s="52"/>
      <c r="F30"/>
    </row>
    <row r="31" spans="1:6" x14ac:dyDescent="0.25">
      <c r="B31" s="37"/>
      <c r="C31" s="37"/>
      <c r="D31"/>
      <c r="E31"/>
      <c r="F31"/>
    </row>
    <row r="32" spans="1:6" x14ac:dyDescent="0.25">
      <c r="A32" s="42"/>
      <c r="B32" s="42"/>
      <c r="C32" s="43"/>
      <c r="D32" s="43"/>
      <c r="E32"/>
    </row>
    <row r="33" spans="1:6" x14ac:dyDescent="0.25">
      <c r="A33" s="44" t="s">
        <v>63</v>
      </c>
      <c r="B33" s="37"/>
      <c r="C33"/>
      <c r="D33"/>
      <c r="E33"/>
    </row>
    <row r="34" spans="1:6" x14ac:dyDescent="0.25">
      <c r="A34" s="37"/>
      <c r="B34" s="37"/>
      <c r="C34"/>
      <c r="D34"/>
      <c r="E34"/>
    </row>
    <row r="35" spans="1:6" x14ac:dyDescent="0.25">
      <c r="A35" s="309"/>
      <c r="B35" s="310"/>
      <c r="C35" s="310"/>
      <c r="D35"/>
      <c r="E35"/>
    </row>
    <row r="36" spans="1:6" x14ac:dyDescent="0.25">
      <c r="A36" s="44" t="s">
        <v>64</v>
      </c>
      <c r="B36" s="37"/>
      <c r="C36"/>
      <c r="D36"/>
      <c r="E36"/>
    </row>
    <row r="39" spans="1:6" ht="15" customHeight="1" x14ac:dyDescent="0.25">
      <c r="A39" s="313" t="s">
        <v>10</v>
      </c>
      <c r="B39" s="313"/>
      <c r="C39" s="314" t="s">
        <v>75</v>
      </c>
      <c r="D39" s="314"/>
      <c r="E39" s="314"/>
      <c r="F39" s="314"/>
    </row>
  </sheetData>
  <mergeCells count="5">
    <mergeCell ref="A35:C35"/>
    <mergeCell ref="B3:H3"/>
    <mergeCell ref="B5:G5"/>
    <mergeCell ref="A39:B39"/>
    <mergeCell ref="C39:F39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C39"/>
  <sheetViews>
    <sheetView topLeftCell="A12" workbookViewId="0">
      <selection activeCell="F14" sqref="F14"/>
    </sheetView>
  </sheetViews>
  <sheetFormatPr defaultColWidth="8.7109375" defaultRowHeight="15" x14ac:dyDescent="0.25"/>
  <cols>
    <col min="1" max="1" width="5.85546875" style="17" customWidth="1"/>
    <col min="2" max="2" width="31.85546875" style="17" customWidth="1"/>
    <col min="3" max="3" width="20" style="17" customWidth="1"/>
    <col min="4" max="4" width="14.5703125" style="17" customWidth="1"/>
    <col min="5" max="5" width="15.5703125" style="17" customWidth="1"/>
    <col min="6" max="6" width="11.140625" style="17" customWidth="1"/>
    <col min="7" max="7" width="10.28515625" style="17" customWidth="1"/>
    <col min="8" max="8" width="8.7109375" style="17"/>
    <col min="9" max="9" width="10.5703125" style="17" bestFit="1" customWidth="1"/>
    <col min="10" max="11" width="11" style="17" customWidth="1"/>
    <col min="12" max="12" width="12.85546875" style="17" customWidth="1"/>
    <col min="13" max="13" width="13.140625" style="17" customWidth="1"/>
    <col min="14" max="14" width="11.5703125" style="17" customWidth="1"/>
    <col min="15" max="16" width="12.5703125" style="17" customWidth="1"/>
    <col min="17" max="17" width="10.42578125" style="17" customWidth="1"/>
    <col min="18" max="18" width="13.7109375" style="17" customWidth="1"/>
    <col min="19" max="19" width="15.42578125" style="17" customWidth="1"/>
    <col min="20" max="20" width="16" style="17" customWidth="1"/>
    <col min="21" max="21" width="19.7109375" style="17" customWidth="1"/>
    <col min="22" max="22" width="13" style="17" customWidth="1"/>
    <col min="23" max="25" width="13.28515625" style="17" customWidth="1"/>
    <col min="26" max="29" width="12" style="17" customWidth="1"/>
    <col min="30" max="16384" width="8.7109375" style="17"/>
  </cols>
  <sheetData>
    <row r="1" spans="1:29" x14ac:dyDescent="0.25">
      <c r="M1" s="19"/>
      <c r="N1" s="19"/>
      <c r="V1" s="18" t="s">
        <v>14</v>
      </c>
    </row>
    <row r="2" spans="1:29" x14ac:dyDescent="0.25">
      <c r="A2" s="20"/>
      <c r="B2" s="20"/>
      <c r="C2" s="20"/>
      <c r="D2" s="20"/>
      <c r="E2" s="20"/>
      <c r="F2" s="20"/>
      <c r="G2" s="20"/>
    </row>
    <row r="3" spans="1:29" x14ac:dyDescent="0.25">
      <c r="A3" s="20"/>
      <c r="B3" s="20"/>
      <c r="C3" s="20"/>
      <c r="D3" s="20"/>
      <c r="E3" s="20"/>
      <c r="F3" s="20"/>
      <c r="G3" s="20"/>
    </row>
    <row r="4" spans="1:29" x14ac:dyDescent="0.25">
      <c r="A4" s="56" t="s">
        <v>67</v>
      </c>
      <c r="B4" s="43"/>
      <c r="C4" s="43"/>
      <c r="D4" s="56"/>
      <c r="E4" s="56"/>
      <c r="F4" s="55"/>
      <c r="G4" s="55"/>
    </row>
    <row r="5" spans="1:29" x14ac:dyDescent="0.25">
      <c r="A5" s="36"/>
      <c r="B5" s="36"/>
      <c r="C5" s="36"/>
      <c r="D5" s="36"/>
      <c r="E5" s="36"/>
      <c r="F5" s="36"/>
      <c r="G5" s="36"/>
    </row>
    <row r="6" spans="1:29" x14ac:dyDescent="0.25">
      <c r="A6" s="36">
        <v>1</v>
      </c>
      <c r="B6" s="56" t="s">
        <v>68</v>
      </c>
      <c r="C6" s="56"/>
      <c r="D6" s="56"/>
      <c r="E6" s="56"/>
      <c r="F6" s="55"/>
      <c r="G6" s="55"/>
    </row>
    <row r="7" spans="1:29" x14ac:dyDescent="0.25">
      <c r="A7" s="36">
        <v>2</v>
      </c>
      <c r="B7" s="57" t="s">
        <v>15</v>
      </c>
      <c r="C7" s="57"/>
      <c r="D7" s="57"/>
      <c r="E7" s="74">
        <f>'№ 910 Декларация '!D8</f>
        <v>461040002572</v>
      </c>
      <c r="F7" s="144"/>
      <c r="G7" s="144"/>
    </row>
    <row r="8" spans="1:29" x14ac:dyDescent="0.25">
      <c r="A8" s="36">
        <v>3</v>
      </c>
      <c r="B8" s="56" t="s">
        <v>93</v>
      </c>
      <c r="C8" s="56"/>
      <c r="D8" s="56"/>
      <c r="E8" s="56" t="str">
        <f>IF('№ 910 Декларация '!L12=1,"январь","июль")</f>
        <v>январь</v>
      </c>
      <c r="F8" s="55"/>
      <c r="G8" s="55"/>
      <c r="H8" s="17">
        <f>'№ 910 Декларация '!O12</f>
        <v>2020</v>
      </c>
    </row>
    <row r="9" spans="1:29" x14ac:dyDescent="0.25">
      <c r="A9" s="49"/>
      <c r="B9" s="49"/>
      <c r="C9" s="49"/>
      <c r="D9" s="49"/>
      <c r="E9" s="49"/>
      <c r="F9" s="49"/>
      <c r="G9" s="49"/>
    </row>
    <row r="10" spans="1:29" ht="43.5" customHeight="1" x14ac:dyDescent="0.25">
      <c r="A10" s="315" t="s">
        <v>172</v>
      </c>
      <c r="B10" s="315"/>
      <c r="C10" s="315"/>
      <c r="D10" s="315"/>
      <c r="E10" s="315"/>
      <c r="F10" s="315"/>
      <c r="G10" s="315"/>
      <c r="H10" s="315"/>
    </row>
    <row r="11" spans="1:29" x14ac:dyDescent="0.25">
      <c r="A11" s="49"/>
      <c r="B11" s="49"/>
      <c r="C11" s="49"/>
      <c r="D11" s="49"/>
      <c r="E11" s="49"/>
      <c r="F11" s="49"/>
      <c r="G11" s="49"/>
    </row>
    <row r="12" spans="1:29" x14ac:dyDescent="0.25">
      <c r="A12" s="49"/>
      <c r="B12" s="49"/>
      <c r="C12" s="49"/>
      <c r="D12" s="49"/>
      <c r="E12" s="49"/>
      <c r="F12" s="49"/>
      <c r="G12" s="49"/>
    </row>
    <row r="13" spans="1:29" ht="140.25" x14ac:dyDescent="0.25">
      <c r="A13" s="58" t="s">
        <v>69</v>
      </c>
      <c r="B13" s="58" t="s">
        <v>70</v>
      </c>
      <c r="C13" s="39" t="s">
        <v>133</v>
      </c>
      <c r="D13" s="58" t="s">
        <v>71</v>
      </c>
      <c r="E13" s="39" t="s">
        <v>211</v>
      </c>
      <c r="F13" s="39" t="s">
        <v>210</v>
      </c>
      <c r="G13" s="39" t="s">
        <v>209</v>
      </c>
      <c r="H13" s="58" t="s">
        <v>76</v>
      </c>
      <c r="I13" s="58" t="s">
        <v>77</v>
      </c>
      <c r="J13" s="39" t="s">
        <v>134</v>
      </c>
      <c r="K13" s="39" t="s">
        <v>135</v>
      </c>
      <c r="L13" s="58" t="s">
        <v>78</v>
      </c>
      <c r="M13" s="58" t="s">
        <v>79</v>
      </c>
      <c r="N13" s="58" t="s">
        <v>104</v>
      </c>
      <c r="O13" s="58" t="s">
        <v>80</v>
      </c>
      <c r="P13" s="58" t="s">
        <v>81</v>
      </c>
      <c r="Q13" s="58" t="s">
        <v>82</v>
      </c>
      <c r="R13" s="39" t="s">
        <v>205</v>
      </c>
      <c r="S13" s="58" t="s">
        <v>84</v>
      </c>
      <c r="T13" s="58" t="s">
        <v>94</v>
      </c>
      <c r="U13" s="58" t="s">
        <v>95</v>
      </c>
      <c r="V13" s="58" t="s">
        <v>96</v>
      </c>
      <c r="W13" s="39" t="s">
        <v>121</v>
      </c>
      <c r="X13" s="39" t="s">
        <v>188</v>
      </c>
      <c r="Y13" s="39" t="s">
        <v>187</v>
      </c>
      <c r="Z13" s="39" t="s">
        <v>122</v>
      </c>
      <c r="AA13" s="39" t="s">
        <v>124</v>
      </c>
      <c r="AB13" s="39" t="s">
        <v>206</v>
      </c>
      <c r="AC13" s="39" t="s">
        <v>129</v>
      </c>
    </row>
    <row r="14" spans="1:29" x14ac:dyDescent="0.25">
      <c r="A14" s="91">
        <v>1</v>
      </c>
      <c r="B14" s="91"/>
      <c r="C14" s="91"/>
      <c r="D14" s="145"/>
      <c r="E14" s="146">
        <f>IF(C14=3,0,IF((D14-O14)&gt;введение!C$11,введение!C$11,IF((D14-O14)&lt;=введение!C$11,D14-O14,0)))</f>
        <v>0</v>
      </c>
      <c r="F14" s="145"/>
      <c r="G14" s="122"/>
      <c r="H14" s="92"/>
      <c r="I14" s="129">
        <f>IF(C14=3,D14-H14,D14-H14-E14-O14-F14-G14)</f>
        <v>0</v>
      </c>
      <c r="J14" s="130">
        <f>IF(C14=0,0,IF(C14&gt;1,0,IF(D14&lt;=введение!C$20*25,I14/100,I14/10)))</f>
        <v>0</v>
      </c>
      <c r="K14" s="130">
        <f>IF(C14=0,0,IF(C14=1,0,IF(C14=3,I14/10,IF(C14=2,IF(D14&lt;=введение!C$20*25,I14/100,I14/10)))))</f>
        <v>0</v>
      </c>
      <c r="L14" s="92"/>
      <c r="M14" s="21">
        <f>IF(C14=3,0,IF(N14=1,0,D14-L14))</f>
        <v>0</v>
      </c>
      <c r="N14" s="92"/>
      <c r="O14" s="21">
        <f>M14*10%</f>
        <v>0</v>
      </c>
      <c r="P14" s="92"/>
      <c r="Q14" s="21">
        <f>IF(C14=3,0,IF(N14=1,0,D14-O14-P14))</f>
        <v>0</v>
      </c>
      <c r="R14" s="21">
        <f>IF(OR(Q14&lt;=0,),0,MIN(MAX(введение!$C$11,Q14),введение!$C$14))</f>
        <v>0</v>
      </c>
      <c r="S14" s="21">
        <f>ROUND(R14*введение!C$15,0)</f>
        <v>0</v>
      </c>
      <c r="T14" s="92"/>
      <c r="U14" s="21">
        <f>ROUND(T14*0.05,0)</f>
        <v>0</v>
      </c>
      <c r="V14" s="21">
        <f>IF(D14=0,0,1)</f>
        <v>0</v>
      </c>
      <c r="W14" s="92"/>
      <c r="X14" s="128">
        <f>IF(C14=3,0,IF(D14&lt;=введение!C$20*25,I14*90/100,0))</f>
        <v>0</v>
      </c>
      <c r="Y14" s="132">
        <f>IF(C14=3,0,IF(N14=1,0,D14-W14-X14))</f>
        <v>0</v>
      </c>
      <c r="Z14" s="132">
        <f>IF(OR(Y14&lt;=0,),0,MIN(MIN(введение!$C$17,Y14),введение!$C$17))</f>
        <v>0</v>
      </c>
      <c r="AA14" s="132">
        <f>Z14*введение!C$18</f>
        <v>0</v>
      </c>
      <c r="AB14" s="132">
        <f>Z14*введение!C$22</f>
        <v>0</v>
      </c>
      <c r="AC14" s="21"/>
    </row>
    <row r="15" spans="1:29" x14ac:dyDescent="0.25">
      <c r="A15" s="91">
        <v>2</v>
      </c>
      <c r="B15" s="91"/>
      <c r="C15" s="91"/>
      <c r="D15" s="145"/>
      <c r="E15" s="146">
        <f>IF(C15=3,0,IF((D15-O15)&gt;введение!C$11,введение!C$11,IF((D15-O15)&lt;=введение!C$11,D15-O15,0)))</f>
        <v>0</v>
      </c>
      <c r="F15" s="145"/>
      <c r="G15" s="122"/>
      <c r="H15" s="92"/>
      <c r="I15" s="129">
        <f t="shared" ref="I15:I25" si="0">IF(C15=3,D15-H15,D15-H15-E15-O15-F15-G15)</f>
        <v>0</v>
      </c>
      <c r="J15" s="130">
        <f>IF(C15=0,0,IF(C15&gt;1,0,IF(D15&lt;=введение!C$20*25,I15/100,I15/10)))</f>
        <v>0</v>
      </c>
      <c r="K15" s="130">
        <f>IF(C15=0,0,IF(C15=1,0,IF(C15=3,I15/10,IF(C15=2,IF(D15&lt;=введение!C$20*25,I15/100,I15/10)))))</f>
        <v>0</v>
      </c>
      <c r="L15" s="92"/>
      <c r="M15" s="21">
        <f t="shared" ref="M15:M25" si="1">IF(C15=3,0,IF(N15=1,0,D15-L15))</f>
        <v>0</v>
      </c>
      <c r="N15" s="92"/>
      <c r="O15" s="21">
        <f t="shared" ref="O15:O25" si="2">M15*10%</f>
        <v>0</v>
      </c>
      <c r="P15" s="92"/>
      <c r="Q15" s="21">
        <f t="shared" ref="Q15:Q25" si="3">IF(C15=3,0,IF(N15=1,0,D15-O15-P15))</f>
        <v>0</v>
      </c>
      <c r="R15" s="21">
        <f>IF(OR(Q15&lt;=0,),0,MIN(MAX(введение!$C$11,Q15),введение!$C$14))</f>
        <v>0</v>
      </c>
      <c r="S15" s="21">
        <f>ROUND(R15*введение!C$15,0)</f>
        <v>0</v>
      </c>
      <c r="T15" s="92"/>
      <c r="U15" s="21">
        <f t="shared" ref="U15:U25" si="4">ROUND(T15*0.05,0)</f>
        <v>0</v>
      </c>
      <c r="V15" s="21">
        <f t="shared" ref="V15:V25" si="5">IF(D15=0,0,1)</f>
        <v>0</v>
      </c>
      <c r="W15" s="92"/>
      <c r="X15" s="128">
        <f>IF(C15=3,0,IF(D15&lt;=введение!C$20*25,I15*90/100,0))</f>
        <v>0</v>
      </c>
      <c r="Y15" s="132">
        <f t="shared" ref="Y15:Y25" si="6">IF(C15=3,0,IF(N15=1,0,D15-W15-X15))</f>
        <v>0</v>
      </c>
      <c r="Z15" s="132">
        <f>IF(OR(Y15&lt;=0,),0,MIN(MIN(введение!$C$17,Y15),введение!$C$17))</f>
        <v>0</v>
      </c>
      <c r="AA15" s="132">
        <f>Z15*введение!C$18</f>
        <v>0</v>
      </c>
      <c r="AB15" s="132">
        <f>Z15*введение!C$22</f>
        <v>0</v>
      </c>
      <c r="AC15" s="21"/>
    </row>
    <row r="16" spans="1:29" x14ac:dyDescent="0.25">
      <c r="A16" s="91">
        <v>3</v>
      </c>
      <c r="B16" s="91"/>
      <c r="C16" s="91"/>
      <c r="D16" s="145"/>
      <c r="E16" s="146">
        <f>IF(C16=3,0,IF((D16-O16)&gt;введение!C$11,введение!C$11,IF((D16-O16)&lt;=введение!C$11,D16-O16,0)))</f>
        <v>0</v>
      </c>
      <c r="F16" s="145"/>
      <c r="G16" s="122"/>
      <c r="H16" s="92"/>
      <c r="I16" s="129">
        <f t="shared" si="0"/>
        <v>0</v>
      </c>
      <c r="J16" s="130">
        <f>IF(C16=0,0,IF(C16&gt;1,0,IF(D16&lt;=введение!C$20*25,I16/100,I16/10)))</f>
        <v>0</v>
      </c>
      <c r="K16" s="130">
        <f>IF(C16=0,0,IF(C16=1,0,IF(C16=3,I16/10,IF(C16=2,IF(D16&lt;=введение!C$20*25,I16/100,I16/10)))))</f>
        <v>0</v>
      </c>
      <c r="L16" s="92"/>
      <c r="M16" s="21">
        <f t="shared" si="1"/>
        <v>0</v>
      </c>
      <c r="N16" s="92"/>
      <c r="O16" s="21">
        <f t="shared" si="2"/>
        <v>0</v>
      </c>
      <c r="P16" s="92"/>
      <c r="Q16" s="21">
        <f t="shared" si="3"/>
        <v>0</v>
      </c>
      <c r="R16" s="21">
        <f>IF(OR(Q16&lt;=0,),0,MIN(MAX(введение!$C$11,Q16),введение!$C$14))</f>
        <v>0</v>
      </c>
      <c r="S16" s="21">
        <f>ROUND(R16*введение!C$15,0)</f>
        <v>0</v>
      </c>
      <c r="T16" s="92"/>
      <c r="U16" s="21">
        <f t="shared" si="4"/>
        <v>0</v>
      </c>
      <c r="V16" s="21">
        <f t="shared" si="5"/>
        <v>0</v>
      </c>
      <c r="W16" s="92"/>
      <c r="X16" s="128">
        <f>IF(C16=3,0,IF(D16&lt;=введение!C$20*25,I16*90/100,0))</f>
        <v>0</v>
      </c>
      <c r="Y16" s="132">
        <f t="shared" si="6"/>
        <v>0</v>
      </c>
      <c r="Z16" s="132">
        <f>IF(OR(Y16&lt;=0,),0,MIN(MIN(введение!$C$17,Y16),введение!$C$17))</f>
        <v>0</v>
      </c>
      <c r="AA16" s="132">
        <f>Z16*введение!C$18</f>
        <v>0</v>
      </c>
      <c r="AB16" s="132">
        <f>Z16*введение!C$22</f>
        <v>0</v>
      </c>
      <c r="AC16" s="21"/>
    </row>
    <row r="17" spans="1:29" x14ac:dyDescent="0.25">
      <c r="A17" s="91">
        <v>4</v>
      </c>
      <c r="B17" s="91"/>
      <c r="C17" s="91"/>
      <c r="D17" s="145"/>
      <c r="E17" s="146">
        <f>IF(C17=3,0,IF((D17-O17)&gt;введение!C$11,введение!C$11,IF((D17-O17)&lt;=введение!C$11,D17-O17,0)))</f>
        <v>0</v>
      </c>
      <c r="F17" s="145"/>
      <c r="G17" s="122"/>
      <c r="H17" s="92"/>
      <c r="I17" s="129">
        <f t="shared" si="0"/>
        <v>0</v>
      </c>
      <c r="J17" s="130">
        <f>IF(C17=0,0,IF(C17&gt;1,0,IF(D17&lt;=введение!C$20*25,I17/100,I17/10)))</f>
        <v>0</v>
      </c>
      <c r="K17" s="130">
        <f>IF(C17=0,0,IF(C17=1,0,IF(C17=3,I17/10,IF(C17=2,IF(D17&lt;=введение!C$20*25,I17/100,I17/10)))))</f>
        <v>0</v>
      </c>
      <c r="L17" s="92"/>
      <c r="M17" s="21">
        <f t="shared" si="1"/>
        <v>0</v>
      </c>
      <c r="N17" s="92"/>
      <c r="O17" s="21">
        <f t="shared" si="2"/>
        <v>0</v>
      </c>
      <c r="P17" s="92"/>
      <c r="Q17" s="21">
        <f t="shared" si="3"/>
        <v>0</v>
      </c>
      <c r="R17" s="21">
        <f>IF(OR(Q17&lt;=0,),0,MIN(MAX(введение!$C$11,Q17),введение!$C$14))</f>
        <v>0</v>
      </c>
      <c r="S17" s="21">
        <f>ROUND(R17*введение!C$15,0)</f>
        <v>0</v>
      </c>
      <c r="T17" s="92"/>
      <c r="U17" s="21">
        <f t="shared" si="4"/>
        <v>0</v>
      </c>
      <c r="V17" s="21">
        <f t="shared" si="5"/>
        <v>0</v>
      </c>
      <c r="W17" s="92"/>
      <c r="X17" s="128">
        <f>IF(C17=3,0,IF(D17&lt;=введение!C$20*25,I17*90/100,0))</f>
        <v>0</v>
      </c>
      <c r="Y17" s="132">
        <f t="shared" si="6"/>
        <v>0</v>
      </c>
      <c r="Z17" s="132">
        <f>IF(OR(Y17&lt;=0,),0,MIN(MIN(введение!$C$17,Y17),введение!$C$17))</f>
        <v>0</v>
      </c>
      <c r="AA17" s="132">
        <f>Z17*введение!C$18</f>
        <v>0</v>
      </c>
      <c r="AB17" s="132">
        <f>Z17*введение!C$22</f>
        <v>0</v>
      </c>
      <c r="AC17" s="21"/>
    </row>
    <row r="18" spans="1:29" x14ac:dyDescent="0.25">
      <c r="A18" s="91">
        <v>5</v>
      </c>
      <c r="B18" s="91"/>
      <c r="C18" s="91"/>
      <c r="D18" s="145"/>
      <c r="E18" s="146">
        <f>IF(C18=3,0,IF((D18-O18)&gt;введение!C$11,введение!C$11,IF((D18-O18)&lt;=введение!C$11,D18-O18,0)))</f>
        <v>0</v>
      </c>
      <c r="F18" s="145"/>
      <c r="G18" s="122"/>
      <c r="H18" s="92"/>
      <c r="I18" s="129">
        <f t="shared" si="0"/>
        <v>0</v>
      </c>
      <c r="J18" s="130">
        <f>IF(C18=0,0,IF(C18&gt;1,0,IF(D18&lt;=введение!C$20*25,I18/100,I18/10)))</f>
        <v>0</v>
      </c>
      <c r="K18" s="130">
        <f>IF(C18=0,0,IF(C18=1,0,IF(C18=3,I18/10,IF(C18=2,IF(D18&lt;=введение!C$20*25,I18/100,I18/10)))))</f>
        <v>0</v>
      </c>
      <c r="L18" s="92"/>
      <c r="M18" s="21">
        <f t="shared" si="1"/>
        <v>0</v>
      </c>
      <c r="N18" s="92"/>
      <c r="O18" s="21">
        <f t="shared" si="2"/>
        <v>0</v>
      </c>
      <c r="P18" s="92"/>
      <c r="Q18" s="21">
        <f t="shared" si="3"/>
        <v>0</v>
      </c>
      <c r="R18" s="21">
        <f>IF(OR(Q18&lt;=0,),0,MIN(MAX(введение!$C$11,Q18),введение!$C$14))</f>
        <v>0</v>
      </c>
      <c r="S18" s="21">
        <f>ROUND(R18*введение!C$15,0)</f>
        <v>0</v>
      </c>
      <c r="T18" s="92"/>
      <c r="U18" s="21">
        <f t="shared" si="4"/>
        <v>0</v>
      </c>
      <c r="V18" s="21">
        <f t="shared" si="5"/>
        <v>0</v>
      </c>
      <c r="W18" s="92"/>
      <c r="X18" s="128">
        <f>IF(C18=3,0,IF(D18&lt;=введение!C$20*25,I18*90/100,0))</f>
        <v>0</v>
      </c>
      <c r="Y18" s="132">
        <f t="shared" si="6"/>
        <v>0</v>
      </c>
      <c r="Z18" s="132">
        <f>IF(OR(Y18&lt;=0,),0,MIN(MIN(введение!$C$17,Y18),введение!$C$17))</f>
        <v>0</v>
      </c>
      <c r="AA18" s="132">
        <f>Z18*введение!C$18</f>
        <v>0</v>
      </c>
      <c r="AB18" s="132">
        <f>Z18*введение!C$22</f>
        <v>0</v>
      </c>
      <c r="AC18" s="21"/>
    </row>
    <row r="19" spans="1:29" x14ac:dyDescent="0.25">
      <c r="A19" s="91">
        <v>6</v>
      </c>
      <c r="B19" s="91"/>
      <c r="C19" s="91"/>
      <c r="D19" s="145"/>
      <c r="E19" s="146">
        <f>IF(C19=3,0,IF((D19-O19)&gt;введение!C$11,введение!C$11,IF((D19-O19)&lt;=введение!C$11,D19-O19,0)))</f>
        <v>0</v>
      </c>
      <c r="F19" s="145"/>
      <c r="G19" s="122"/>
      <c r="H19" s="92"/>
      <c r="I19" s="129">
        <f t="shared" si="0"/>
        <v>0</v>
      </c>
      <c r="J19" s="130">
        <f>IF(C19=0,0,IF(C19&gt;1,0,IF(D19&lt;=введение!C$20*25,I19/100,I19/10)))</f>
        <v>0</v>
      </c>
      <c r="K19" s="130">
        <f>IF(C19=0,0,IF(C19=1,0,IF(C19=3,I19/10,IF(C19=2,IF(D19&lt;=введение!C$20*25,I19/100,I19/10)))))</f>
        <v>0</v>
      </c>
      <c r="L19" s="92"/>
      <c r="M19" s="21">
        <f t="shared" si="1"/>
        <v>0</v>
      </c>
      <c r="N19" s="92"/>
      <c r="O19" s="21">
        <f t="shared" si="2"/>
        <v>0</v>
      </c>
      <c r="P19" s="92"/>
      <c r="Q19" s="21">
        <f t="shared" si="3"/>
        <v>0</v>
      </c>
      <c r="R19" s="21">
        <f>IF(OR(Q19&lt;=0,),0,MIN(MAX(введение!$C$11,Q19),введение!$C$14))</f>
        <v>0</v>
      </c>
      <c r="S19" s="21">
        <f>ROUND(R19*введение!C$15,0)</f>
        <v>0</v>
      </c>
      <c r="T19" s="92"/>
      <c r="U19" s="21">
        <f t="shared" si="4"/>
        <v>0</v>
      </c>
      <c r="V19" s="21">
        <f t="shared" si="5"/>
        <v>0</v>
      </c>
      <c r="W19" s="92"/>
      <c r="X19" s="128">
        <f>IF(C19=3,0,IF(D19&lt;=введение!C$20*25,I19*90/100,0))</f>
        <v>0</v>
      </c>
      <c r="Y19" s="132">
        <f t="shared" si="6"/>
        <v>0</v>
      </c>
      <c r="Z19" s="132">
        <f>IF(OR(Y19&lt;=0,),0,MIN(MIN(введение!$C$17,Y19),введение!$C$17))</f>
        <v>0</v>
      </c>
      <c r="AA19" s="132">
        <f>Z19*введение!C$18</f>
        <v>0</v>
      </c>
      <c r="AB19" s="132">
        <f>Z19*введение!C$22</f>
        <v>0</v>
      </c>
      <c r="AC19" s="21"/>
    </row>
    <row r="20" spans="1:29" x14ac:dyDescent="0.25">
      <c r="A20" s="91">
        <v>7</v>
      </c>
      <c r="B20" s="91"/>
      <c r="C20" s="91"/>
      <c r="D20" s="145"/>
      <c r="E20" s="146">
        <f>IF(C20=3,0,IF((D20-O20)&gt;введение!C$11,введение!C$11,IF((D20-O20)&lt;=введение!C$11,D20-O20,0)))</f>
        <v>0</v>
      </c>
      <c r="F20" s="145"/>
      <c r="G20" s="122"/>
      <c r="H20" s="92"/>
      <c r="I20" s="129">
        <f t="shared" si="0"/>
        <v>0</v>
      </c>
      <c r="J20" s="130">
        <f>IF(C20=0,0,IF(C20&gt;1,0,IF(D20&lt;=введение!C$20*25,I20/100,I20/10)))</f>
        <v>0</v>
      </c>
      <c r="K20" s="130">
        <f>IF(C20=0,0,IF(C20=1,0,IF(C20=3,I20/10,IF(C20=2,IF(D20&lt;=введение!C$20*25,I20/100,I20/10)))))</f>
        <v>0</v>
      </c>
      <c r="L20" s="92"/>
      <c r="M20" s="21">
        <f t="shared" si="1"/>
        <v>0</v>
      </c>
      <c r="N20" s="92"/>
      <c r="O20" s="21">
        <f t="shared" si="2"/>
        <v>0</v>
      </c>
      <c r="P20" s="92"/>
      <c r="Q20" s="21">
        <f t="shared" si="3"/>
        <v>0</v>
      </c>
      <c r="R20" s="21">
        <f>IF(OR(Q20&lt;=0,),0,MIN(MAX(введение!$C$11,Q20),введение!$C$14))</f>
        <v>0</v>
      </c>
      <c r="S20" s="21">
        <f>ROUND(R20*введение!C$15,0)</f>
        <v>0</v>
      </c>
      <c r="T20" s="92"/>
      <c r="U20" s="21">
        <f t="shared" si="4"/>
        <v>0</v>
      </c>
      <c r="V20" s="21">
        <f t="shared" si="5"/>
        <v>0</v>
      </c>
      <c r="W20" s="92"/>
      <c r="X20" s="128">
        <f>IF(C20=3,0,IF(D20&lt;=введение!C$20*25,I20*90/100,0))</f>
        <v>0</v>
      </c>
      <c r="Y20" s="132">
        <f t="shared" si="6"/>
        <v>0</v>
      </c>
      <c r="Z20" s="132">
        <f>IF(OR(Y20&lt;=0,),0,MIN(MIN(введение!$C$17,Y20),введение!$C$17))</f>
        <v>0</v>
      </c>
      <c r="AA20" s="132">
        <f>Z20*введение!C$18</f>
        <v>0</v>
      </c>
      <c r="AB20" s="132">
        <f>Z20*введение!C$22</f>
        <v>0</v>
      </c>
      <c r="AC20" s="21"/>
    </row>
    <row r="21" spans="1:29" x14ac:dyDescent="0.25">
      <c r="A21" s="91">
        <v>8</v>
      </c>
      <c r="B21" s="91"/>
      <c r="C21" s="91"/>
      <c r="D21" s="145"/>
      <c r="E21" s="146">
        <f>IF(C21=3,0,IF((D21-O21)&gt;введение!C$11,введение!C$11,IF((D21-O21)&lt;=введение!C$11,D21-O21,0)))</f>
        <v>0</v>
      </c>
      <c r="F21" s="145"/>
      <c r="G21" s="122"/>
      <c r="H21" s="92"/>
      <c r="I21" s="129">
        <f t="shared" si="0"/>
        <v>0</v>
      </c>
      <c r="J21" s="130">
        <f>IF(C21=0,0,IF(C21&gt;1,0,IF(D21&lt;=введение!C$20*25,I21/100,I21/10)))</f>
        <v>0</v>
      </c>
      <c r="K21" s="130">
        <f>IF(C21=0,0,IF(C21=1,0,IF(C21=3,I21/10,IF(C21=2,IF(D21&lt;=введение!C$20*25,I21/100,I21/10)))))</f>
        <v>0</v>
      </c>
      <c r="L21" s="92"/>
      <c r="M21" s="21">
        <f t="shared" si="1"/>
        <v>0</v>
      </c>
      <c r="N21" s="92"/>
      <c r="O21" s="21">
        <f t="shared" si="2"/>
        <v>0</v>
      </c>
      <c r="P21" s="92"/>
      <c r="Q21" s="21">
        <f t="shared" si="3"/>
        <v>0</v>
      </c>
      <c r="R21" s="21">
        <f>IF(OR(Q21&lt;=0,),0,MIN(MAX(введение!$C$11,Q21),введение!$C$14))</f>
        <v>0</v>
      </c>
      <c r="S21" s="21">
        <f>ROUND(R21*введение!C$15,0)</f>
        <v>0</v>
      </c>
      <c r="T21" s="92"/>
      <c r="U21" s="21">
        <f t="shared" si="4"/>
        <v>0</v>
      </c>
      <c r="V21" s="21">
        <f t="shared" si="5"/>
        <v>0</v>
      </c>
      <c r="W21" s="92"/>
      <c r="X21" s="128">
        <f>IF(C21=3,0,IF(D21&lt;=введение!C$20*25,I21*90/100,0))</f>
        <v>0</v>
      </c>
      <c r="Y21" s="132">
        <f t="shared" si="6"/>
        <v>0</v>
      </c>
      <c r="Z21" s="132">
        <f>IF(OR(Y21&lt;=0,),0,MIN(MIN(введение!$C$17,Y21),введение!$C$17))</f>
        <v>0</v>
      </c>
      <c r="AA21" s="132">
        <f>Z21*введение!C$18</f>
        <v>0</v>
      </c>
      <c r="AB21" s="132">
        <f>Z21*введение!C$22</f>
        <v>0</v>
      </c>
      <c r="AC21" s="21"/>
    </row>
    <row r="22" spans="1:29" x14ac:dyDescent="0.25">
      <c r="A22" s="91">
        <v>9</v>
      </c>
      <c r="B22" s="91"/>
      <c r="C22" s="91"/>
      <c r="D22" s="145"/>
      <c r="E22" s="146">
        <f>IF(C22=3,0,IF((D22-O22)&gt;введение!C$11,введение!C$11,IF((D22-O22)&lt;=введение!C$11,D22-O22,0)))</f>
        <v>0</v>
      </c>
      <c r="F22" s="145"/>
      <c r="G22" s="122"/>
      <c r="H22" s="92"/>
      <c r="I22" s="129">
        <f t="shared" si="0"/>
        <v>0</v>
      </c>
      <c r="J22" s="130">
        <f>IF(C22=0,0,IF(C22&gt;1,0,IF(D22&lt;=введение!C$20*25,I22/100,I22/10)))</f>
        <v>0</v>
      </c>
      <c r="K22" s="130">
        <f>IF(C22=0,0,IF(C22=1,0,IF(C22=3,I22/10,IF(C22=2,IF(D22&lt;=введение!C$20*25,I22/100,I22/10)))))</f>
        <v>0</v>
      </c>
      <c r="L22" s="92"/>
      <c r="M22" s="21">
        <f t="shared" si="1"/>
        <v>0</v>
      </c>
      <c r="N22" s="92"/>
      <c r="O22" s="21">
        <f t="shared" si="2"/>
        <v>0</v>
      </c>
      <c r="P22" s="92"/>
      <c r="Q22" s="21">
        <f t="shared" si="3"/>
        <v>0</v>
      </c>
      <c r="R22" s="21">
        <f>IF(OR(Q22&lt;=0,),0,MIN(MAX(введение!$C$11,Q22),введение!$C$14))</f>
        <v>0</v>
      </c>
      <c r="S22" s="21">
        <f>ROUND(R22*введение!C$15,0)</f>
        <v>0</v>
      </c>
      <c r="T22" s="92"/>
      <c r="U22" s="21">
        <f t="shared" si="4"/>
        <v>0</v>
      </c>
      <c r="V22" s="21">
        <f t="shared" si="5"/>
        <v>0</v>
      </c>
      <c r="W22" s="92"/>
      <c r="X22" s="128">
        <f>IF(C22=3,0,IF(D22&lt;=введение!C$20*25,I22*90/100,0))</f>
        <v>0</v>
      </c>
      <c r="Y22" s="132">
        <f t="shared" si="6"/>
        <v>0</v>
      </c>
      <c r="Z22" s="132">
        <f>IF(OR(Y22&lt;=0,),0,MIN(MIN(введение!$C$17,Y22),введение!$C$17))</f>
        <v>0</v>
      </c>
      <c r="AA22" s="132">
        <f>Z22*введение!C$18</f>
        <v>0</v>
      </c>
      <c r="AB22" s="132">
        <f>Z22*введение!C$22</f>
        <v>0</v>
      </c>
      <c r="AC22" s="21"/>
    </row>
    <row r="23" spans="1:29" x14ac:dyDescent="0.25">
      <c r="A23" s="91">
        <v>10</v>
      </c>
      <c r="B23" s="91"/>
      <c r="C23" s="91"/>
      <c r="D23" s="145"/>
      <c r="E23" s="146">
        <f>IF(C23=3,0,IF((D23-O23)&gt;введение!C$11,введение!C$11,IF((D23-O23)&lt;=введение!C$11,D23-O23,0)))</f>
        <v>0</v>
      </c>
      <c r="F23" s="145"/>
      <c r="G23" s="122"/>
      <c r="H23" s="92"/>
      <c r="I23" s="129">
        <f t="shared" si="0"/>
        <v>0</v>
      </c>
      <c r="J23" s="130">
        <f>IF(C23=0,0,IF(C23&gt;1,0,IF(D23&lt;=введение!C$20*25,I23/100,I23/10)))</f>
        <v>0</v>
      </c>
      <c r="K23" s="130">
        <f>IF(C23=0,0,IF(C23=1,0,IF(C23=3,I23/10,IF(C23=2,IF(D23&lt;=введение!C$20*25,I23/100,I23/10)))))</f>
        <v>0</v>
      </c>
      <c r="L23" s="92"/>
      <c r="M23" s="21">
        <f t="shared" si="1"/>
        <v>0</v>
      </c>
      <c r="N23" s="92"/>
      <c r="O23" s="21">
        <f t="shared" si="2"/>
        <v>0</v>
      </c>
      <c r="P23" s="92"/>
      <c r="Q23" s="21">
        <f t="shared" si="3"/>
        <v>0</v>
      </c>
      <c r="R23" s="21">
        <f>IF(OR(Q23&lt;=0,),0,MIN(MAX(введение!$C$11,Q23),введение!$C$14))</f>
        <v>0</v>
      </c>
      <c r="S23" s="21">
        <f>ROUND(R23*введение!C$15,0)</f>
        <v>0</v>
      </c>
      <c r="T23" s="92"/>
      <c r="U23" s="21">
        <f t="shared" si="4"/>
        <v>0</v>
      </c>
      <c r="V23" s="21">
        <f t="shared" si="5"/>
        <v>0</v>
      </c>
      <c r="W23" s="92"/>
      <c r="X23" s="128">
        <f>IF(C23=3,0,IF(D23&lt;=введение!C$20*25,I23*90/100,0))</f>
        <v>0</v>
      </c>
      <c r="Y23" s="132">
        <f t="shared" si="6"/>
        <v>0</v>
      </c>
      <c r="Z23" s="132">
        <f>IF(OR(Y23&lt;=0,),0,MIN(MIN(введение!$C$17,Y23),введение!$C$17))</f>
        <v>0</v>
      </c>
      <c r="AA23" s="132">
        <f>Z23*введение!C$18</f>
        <v>0</v>
      </c>
      <c r="AB23" s="132">
        <f>Z23*введение!C$22</f>
        <v>0</v>
      </c>
      <c r="AC23" s="21"/>
    </row>
    <row r="24" spans="1:29" x14ac:dyDescent="0.25">
      <c r="A24" s="91">
        <v>11</v>
      </c>
      <c r="B24" s="91"/>
      <c r="C24" s="91"/>
      <c r="D24" s="145"/>
      <c r="E24" s="146">
        <f>IF(C24=3,0,IF((D24-O24)&gt;введение!C$11,введение!C$11,IF((D24-O24)&lt;=введение!C$11,D24-O24,0)))</f>
        <v>0</v>
      </c>
      <c r="F24" s="145"/>
      <c r="G24" s="122"/>
      <c r="H24" s="92"/>
      <c r="I24" s="129">
        <f t="shared" si="0"/>
        <v>0</v>
      </c>
      <c r="J24" s="130">
        <f>IF(C24=0,0,IF(C24&gt;1,0,IF(D24&lt;=введение!C$20*25,I24/100,I24/10)))</f>
        <v>0</v>
      </c>
      <c r="K24" s="130">
        <f>IF(C24=0,0,IF(C24=1,0,IF(C24=3,I24/10,IF(C24=2,IF(D24&lt;=введение!C$20*25,I24/100,I24/10)))))</f>
        <v>0</v>
      </c>
      <c r="L24" s="92"/>
      <c r="M24" s="21">
        <f t="shared" si="1"/>
        <v>0</v>
      </c>
      <c r="N24" s="92"/>
      <c r="O24" s="21">
        <f t="shared" si="2"/>
        <v>0</v>
      </c>
      <c r="P24" s="92"/>
      <c r="Q24" s="21">
        <f t="shared" si="3"/>
        <v>0</v>
      </c>
      <c r="R24" s="21">
        <f>IF(OR(Q24&lt;=0,),0,MIN(MAX(введение!$C$11,Q24),введение!$C$14))</f>
        <v>0</v>
      </c>
      <c r="S24" s="21">
        <f>ROUND(R24*введение!C$15,0)</f>
        <v>0</v>
      </c>
      <c r="T24" s="92"/>
      <c r="U24" s="21">
        <f t="shared" si="4"/>
        <v>0</v>
      </c>
      <c r="V24" s="21">
        <f t="shared" si="5"/>
        <v>0</v>
      </c>
      <c r="W24" s="92"/>
      <c r="X24" s="128">
        <f>IF(C24=3,0,IF(D24&lt;=введение!C$20*25,I24*90/100,0))</f>
        <v>0</v>
      </c>
      <c r="Y24" s="132">
        <f t="shared" si="6"/>
        <v>0</v>
      </c>
      <c r="Z24" s="132">
        <f>IF(OR(Y24&lt;=0,),0,MIN(MIN(введение!$C$17,Y24),введение!$C$17))</f>
        <v>0</v>
      </c>
      <c r="AA24" s="132">
        <f>Z24*введение!C$18</f>
        <v>0</v>
      </c>
      <c r="AB24" s="132">
        <f>Z24*введение!C$22</f>
        <v>0</v>
      </c>
      <c r="AC24" s="21"/>
    </row>
    <row r="25" spans="1:29" x14ac:dyDescent="0.25">
      <c r="A25" s="91">
        <v>12</v>
      </c>
      <c r="B25" s="91"/>
      <c r="C25" s="91"/>
      <c r="D25" s="145"/>
      <c r="E25" s="146">
        <f>IF(C25=3,0,IF((D25-O25)&gt;введение!C$11,введение!C$11,IF((D25-O25)&lt;=введение!C$11,D25-O25,0)))</f>
        <v>0</v>
      </c>
      <c r="F25" s="145"/>
      <c r="G25" s="122"/>
      <c r="H25" s="92"/>
      <c r="I25" s="129">
        <f t="shared" si="0"/>
        <v>0</v>
      </c>
      <c r="J25" s="130">
        <f>IF(C25=0,0,IF(C25&gt;1,0,IF(D25&lt;=введение!C$20*25,I25/100,I25/10)))</f>
        <v>0</v>
      </c>
      <c r="K25" s="130">
        <f>IF(C25=0,0,IF(C25=1,0,IF(C25=3,I25/10,IF(C25=2,IF(D25&lt;=введение!C$20*25,I25/100,I25/10)))))</f>
        <v>0</v>
      </c>
      <c r="L25" s="92"/>
      <c r="M25" s="21">
        <f t="shared" si="1"/>
        <v>0</v>
      </c>
      <c r="N25" s="92"/>
      <c r="O25" s="21">
        <f t="shared" si="2"/>
        <v>0</v>
      </c>
      <c r="P25" s="92"/>
      <c r="Q25" s="21">
        <f t="shared" si="3"/>
        <v>0</v>
      </c>
      <c r="R25" s="21">
        <f>IF(OR(Q25&lt;=0,),0,MIN(MAX(введение!$C$11,Q25),введение!$C$14))</f>
        <v>0</v>
      </c>
      <c r="S25" s="21">
        <f>ROUND(R25*введение!C$15,0)</f>
        <v>0</v>
      </c>
      <c r="T25" s="92"/>
      <c r="U25" s="21">
        <f t="shared" si="4"/>
        <v>0</v>
      </c>
      <c r="V25" s="21">
        <f t="shared" si="5"/>
        <v>0</v>
      </c>
      <c r="W25" s="92"/>
      <c r="X25" s="128">
        <f>IF(C25=3,0,IF(D25&lt;=введение!C$20*25,I25*90/100,0))</f>
        <v>0</v>
      </c>
      <c r="Y25" s="132">
        <f t="shared" si="6"/>
        <v>0</v>
      </c>
      <c r="Z25" s="132">
        <f>IF(OR(Y25&lt;=0,),0,MIN(MIN(введение!$C$17,Y25),введение!$C$17))</f>
        <v>0</v>
      </c>
      <c r="AA25" s="132">
        <f>Z25*введение!C$18</f>
        <v>0</v>
      </c>
      <c r="AB25" s="132">
        <f>Z25*введение!C$22</f>
        <v>0</v>
      </c>
      <c r="AC25" s="21"/>
    </row>
    <row r="26" spans="1:29" x14ac:dyDescent="0.25">
      <c r="A26" s="316" t="s">
        <v>73</v>
      </c>
      <c r="B26" s="317"/>
      <c r="C26" s="87"/>
      <c r="D26" s="133">
        <f>SUM(D14:D25)</f>
        <v>0</v>
      </c>
      <c r="E26" s="133">
        <f t="shared" ref="E26:U26" si="7">SUM(E14:E25)</f>
        <v>0</v>
      </c>
      <c r="F26" s="133">
        <f t="shared" si="7"/>
        <v>0</v>
      </c>
      <c r="G26" s="22">
        <f t="shared" si="7"/>
        <v>0</v>
      </c>
      <c r="H26" s="22">
        <f t="shared" si="7"/>
        <v>0</v>
      </c>
      <c r="I26" s="131">
        <f t="shared" si="7"/>
        <v>0</v>
      </c>
      <c r="J26" s="131">
        <f t="shared" si="7"/>
        <v>0</v>
      </c>
      <c r="K26" s="131">
        <f t="shared" si="7"/>
        <v>0</v>
      </c>
      <c r="L26" s="22">
        <f t="shared" si="7"/>
        <v>0</v>
      </c>
      <c r="M26" s="22">
        <f t="shared" si="7"/>
        <v>0</v>
      </c>
      <c r="N26" s="22">
        <f>SUM(N14:N25)</f>
        <v>0</v>
      </c>
      <c r="O26" s="22">
        <f>SUM(O14:O25)</f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>SUM(S14:S25)</f>
        <v>0</v>
      </c>
      <c r="T26" s="22">
        <f t="shared" si="7"/>
        <v>0</v>
      </c>
      <c r="U26" s="22">
        <f t="shared" si="7"/>
        <v>0</v>
      </c>
      <c r="V26" s="22">
        <f t="shared" ref="V26:AB26" si="8">SUM(V14:V25)</f>
        <v>0</v>
      </c>
      <c r="W26" s="22">
        <f t="shared" si="8"/>
        <v>0</v>
      </c>
      <c r="X26" s="133">
        <f t="shared" si="8"/>
        <v>0</v>
      </c>
      <c r="Y26" s="133">
        <f t="shared" si="8"/>
        <v>0</v>
      </c>
      <c r="Z26" s="133">
        <f t="shared" si="8"/>
        <v>0</v>
      </c>
      <c r="AA26" s="133">
        <f t="shared" si="8"/>
        <v>0</v>
      </c>
      <c r="AB26" s="133">
        <f t="shared" si="8"/>
        <v>0</v>
      </c>
      <c r="AC26" s="132">
        <f>IF(D26&gt;0,D26/V26,0)</f>
        <v>0</v>
      </c>
    </row>
    <row r="27" spans="1:29" x14ac:dyDescent="0.25">
      <c r="A27" s="49"/>
      <c r="B27" s="49"/>
      <c r="C27" s="49"/>
      <c r="D27" s="49"/>
      <c r="E27" s="49"/>
      <c r="F27" s="49"/>
      <c r="G27" s="49"/>
    </row>
    <row r="28" spans="1:29" x14ac:dyDescent="0.25">
      <c r="A28" s="42"/>
      <c r="B28" s="42"/>
      <c r="C28" s="42"/>
      <c r="D28" s="43"/>
      <c r="E28" s="43"/>
      <c r="F28" s="49"/>
      <c r="G28" s="49"/>
    </row>
    <row r="29" spans="1:29" x14ac:dyDescent="0.25">
      <c r="A29" s="44" t="s">
        <v>62</v>
      </c>
      <c r="B29" s="37"/>
      <c r="C29" s="37"/>
      <c r="D29"/>
      <c r="E29"/>
      <c r="F29"/>
      <c r="G29"/>
    </row>
    <row r="30" spans="1:29" x14ac:dyDescent="0.25">
      <c r="A30" s="37"/>
      <c r="B30" s="37"/>
      <c r="C30" s="37"/>
      <c r="D30"/>
      <c r="E30"/>
      <c r="F30"/>
      <c r="G30"/>
    </row>
    <row r="31" spans="1:29" x14ac:dyDescent="0.25">
      <c r="A31" s="42"/>
      <c r="B31" s="42"/>
      <c r="C31" s="42"/>
      <c r="D31" s="43"/>
      <c r="E31" s="43"/>
      <c r="F31" s="49"/>
      <c r="G31" s="49"/>
    </row>
    <row r="32" spans="1:29" x14ac:dyDescent="0.25">
      <c r="A32" s="44" t="s">
        <v>63</v>
      </c>
      <c r="B32" s="37"/>
      <c r="C32" s="37"/>
      <c r="D32"/>
      <c r="E32"/>
      <c r="F32"/>
      <c r="G32"/>
    </row>
    <row r="33" spans="1:7" x14ac:dyDescent="0.25">
      <c r="A33" s="37"/>
      <c r="B33" s="37"/>
      <c r="C33" s="37"/>
      <c r="D33"/>
      <c r="E33"/>
      <c r="F33"/>
      <c r="G33"/>
    </row>
    <row r="34" spans="1:7" x14ac:dyDescent="0.25">
      <c r="A34" s="42"/>
      <c r="B34" s="42"/>
      <c r="C34" s="42"/>
      <c r="D34" s="43"/>
      <c r="E34" s="43"/>
      <c r="F34" s="49"/>
      <c r="G34" s="49"/>
    </row>
    <row r="35" spans="1:7" x14ac:dyDescent="0.25">
      <c r="A35" s="44" t="s">
        <v>74</v>
      </c>
      <c r="B35" s="37"/>
      <c r="C35" s="37"/>
      <c r="D35"/>
      <c r="E35"/>
      <c r="F35"/>
      <c r="G35"/>
    </row>
    <row r="36" spans="1:7" x14ac:dyDescent="0.25">
      <c r="A36" s="37"/>
      <c r="B36" s="37"/>
      <c r="C36" s="37"/>
      <c r="D36"/>
      <c r="E36"/>
      <c r="F36"/>
      <c r="G36"/>
    </row>
    <row r="37" spans="1:7" x14ac:dyDescent="0.25">
      <c r="A37" s="42"/>
      <c r="B37" s="42"/>
      <c r="C37" s="42"/>
      <c r="D37" s="43"/>
      <c r="E37"/>
      <c r="F37"/>
      <c r="G37"/>
    </row>
    <row r="38" spans="1:7" x14ac:dyDescent="0.25">
      <c r="A38" s="44" t="s">
        <v>64</v>
      </c>
      <c r="B38" s="37"/>
      <c r="C38" s="37"/>
      <c r="D38"/>
      <c r="E38"/>
      <c r="F38"/>
      <c r="G38"/>
    </row>
    <row r="39" spans="1:7" x14ac:dyDescent="0.25">
      <c r="A39" s="49"/>
      <c r="B39" s="49"/>
      <c r="C39" s="49"/>
      <c r="D39" s="49"/>
      <c r="E39" s="49"/>
      <c r="F39" s="49"/>
      <c r="G39" s="49"/>
    </row>
  </sheetData>
  <mergeCells count="2">
    <mergeCell ref="A10:H10"/>
    <mergeCell ref="A26:B2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AC38"/>
  <sheetViews>
    <sheetView topLeftCell="A13" workbookViewId="0">
      <selection activeCell="F20" sqref="F20"/>
    </sheetView>
  </sheetViews>
  <sheetFormatPr defaultColWidth="8.7109375" defaultRowHeight="15" x14ac:dyDescent="0.25"/>
  <cols>
    <col min="1" max="1" width="5.85546875" style="17" customWidth="1"/>
    <col min="2" max="3" width="18.5703125" style="17" customWidth="1"/>
    <col min="4" max="4" width="14.5703125" style="17" customWidth="1"/>
    <col min="5" max="7" width="13.7109375" style="17" customWidth="1"/>
    <col min="8" max="8" width="8.85546875" style="17" bestFit="1" customWidth="1"/>
    <col min="9" max="9" width="13.28515625" style="17" bestFit="1" customWidth="1"/>
    <col min="10" max="10" width="11" style="17" customWidth="1"/>
    <col min="11" max="11" width="9.5703125" style="17" customWidth="1"/>
    <col min="12" max="12" width="10" style="17" customWidth="1"/>
    <col min="13" max="13" width="12.5703125" style="17" customWidth="1"/>
    <col min="14" max="14" width="8.7109375" style="17"/>
    <col min="15" max="15" width="10.42578125" style="17" customWidth="1"/>
    <col min="16" max="16" width="13.7109375" style="17" customWidth="1"/>
    <col min="17" max="17" width="15.42578125" style="17" customWidth="1"/>
    <col min="18" max="18" width="16" style="17" customWidth="1"/>
    <col min="19" max="19" width="19.7109375" style="17" customWidth="1"/>
    <col min="20" max="20" width="13" style="17" customWidth="1"/>
    <col min="21" max="23" width="8.7109375" style="17"/>
    <col min="24" max="24" width="13.7109375" style="5" customWidth="1"/>
    <col min="25" max="25" width="12.85546875" style="17" customWidth="1"/>
    <col min="26" max="26" width="14.5703125" style="17" bestFit="1" customWidth="1"/>
    <col min="27" max="27" width="11.85546875" style="17" bestFit="1" customWidth="1"/>
    <col min="28" max="28" width="11.85546875" style="17" customWidth="1"/>
    <col min="29" max="29" width="13.28515625" style="17" bestFit="1" customWidth="1"/>
    <col min="30" max="16384" width="8.7109375" style="17"/>
  </cols>
  <sheetData>
    <row r="2" spans="1:29" x14ac:dyDescent="0.25">
      <c r="L2" s="19"/>
      <c r="T2" s="18" t="s">
        <v>14</v>
      </c>
    </row>
    <row r="3" spans="1:29" x14ac:dyDescent="0.25">
      <c r="A3" s="20"/>
      <c r="B3" s="20"/>
      <c r="C3" s="20"/>
      <c r="D3" s="20"/>
      <c r="E3" s="20"/>
      <c r="F3" s="20"/>
      <c r="G3" s="20"/>
    </row>
    <row r="4" spans="1:29" x14ac:dyDescent="0.25">
      <c r="A4" s="20"/>
      <c r="B4" s="20"/>
      <c r="C4" s="20"/>
      <c r="D4" s="20"/>
      <c r="E4" s="20"/>
      <c r="F4" s="20"/>
      <c r="G4" s="20"/>
    </row>
    <row r="5" spans="1:29" x14ac:dyDescent="0.25">
      <c r="A5" s="56" t="s">
        <v>67</v>
      </c>
      <c r="B5" s="43"/>
      <c r="C5" s="43"/>
      <c r="D5" s="56"/>
      <c r="E5" s="56"/>
      <c r="F5" s="55"/>
      <c r="G5" s="55"/>
    </row>
    <row r="6" spans="1:29" x14ac:dyDescent="0.25">
      <c r="A6" s="36"/>
      <c r="B6" s="36"/>
      <c r="C6" s="36"/>
      <c r="D6" s="36"/>
      <c r="E6" s="36"/>
      <c r="F6" s="36"/>
      <c r="G6" s="36"/>
    </row>
    <row r="7" spans="1:29" x14ac:dyDescent="0.25">
      <c r="A7" s="36">
        <v>1</v>
      </c>
      <c r="B7" s="56" t="s">
        <v>68</v>
      </c>
      <c r="C7" s="56"/>
      <c r="D7" s="56"/>
      <c r="E7" s="56"/>
      <c r="F7" s="55"/>
      <c r="G7" s="55"/>
    </row>
    <row r="8" spans="1:29" x14ac:dyDescent="0.25">
      <c r="A8" s="36">
        <v>2</v>
      </c>
      <c r="B8" s="57" t="s">
        <v>15</v>
      </c>
      <c r="C8" s="57"/>
      <c r="D8" s="57"/>
      <c r="E8" s="74">
        <f>'№ 910 Декларация '!D8</f>
        <v>461040002572</v>
      </c>
      <c r="F8" s="144"/>
      <c r="G8" s="144"/>
    </row>
    <row r="9" spans="1:29" x14ac:dyDescent="0.25">
      <c r="A9" s="36">
        <v>3</v>
      </c>
      <c r="B9" s="56" t="s">
        <v>93</v>
      </c>
      <c r="C9" s="56"/>
      <c r="D9" s="56"/>
      <c r="E9" s="56" t="str">
        <f>IF('№ 910 Декларация '!L12=1,"февраль","август")</f>
        <v>февраль</v>
      </c>
      <c r="F9" s="55"/>
      <c r="G9" s="55"/>
      <c r="H9" s="17">
        <f>'№ 910 Декларация '!O12</f>
        <v>2020</v>
      </c>
    </row>
    <row r="10" spans="1:29" x14ac:dyDescent="0.25">
      <c r="A10" s="49"/>
      <c r="B10" s="49"/>
      <c r="C10" s="49"/>
      <c r="D10" s="49"/>
      <c r="E10" s="49"/>
      <c r="F10" s="49"/>
      <c r="G10" s="49"/>
    </row>
    <row r="11" spans="1:29" ht="43.5" customHeight="1" x14ac:dyDescent="0.25">
      <c r="A11" s="315" t="s">
        <v>173</v>
      </c>
      <c r="B11" s="315"/>
      <c r="C11" s="315"/>
      <c r="D11" s="315"/>
      <c r="E11" s="315"/>
      <c r="F11" s="315"/>
      <c r="G11" s="315"/>
      <c r="H11" s="315"/>
    </row>
    <row r="12" spans="1:29" x14ac:dyDescent="0.25">
      <c r="A12" s="49"/>
      <c r="B12" s="49"/>
      <c r="C12" s="49"/>
      <c r="D12" s="49"/>
      <c r="E12" s="49"/>
      <c r="F12" s="49"/>
      <c r="G12" s="49"/>
    </row>
    <row r="13" spans="1:29" ht="153" x14ac:dyDescent="0.25">
      <c r="A13" s="58" t="s">
        <v>69</v>
      </c>
      <c r="B13" s="58" t="s">
        <v>70</v>
      </c>
      <c r="C13" s="39" t="s">
        <v>133</v>
      </c>
      <c r="D13" s="58" t="s">
        <v>71</v>
      </c>
      <c r="E13" s="39" t="s">
        <v>211</v>
      </c>
      <c r="F13" s="39" t="s">
        <v>210</v>
      </c>
      <c r="G13" s="39" t="s">
        <v>209</v>
      </c>
      <c r="H13" s="58" t="s">
        <v>76</v>
      </c>
      <c r="I13" s="58" t="s">
        <v>77</v>
      </c>
      <c r="J13" s="39" t="s">
        <v>134</v>
      </c>
      <c r="K13" s="39" t="s">
        <v>135</v>
      </c>
      <c r="L13" s="58" t="s">
        <v>78</v>
      </c>
      <c r="M13" s="58" t="s">
        <v>79</v>
      </c>
      <c r="N13" s="58" t="s">
        <v>104</v>
      </c>
      <c r="O13" s="58" t="s">
        <v>80</v>
      </c>
      <c r="P13" s="58" t="s">
        <v>81</v>
      </c>
      <c r="Q13" s="58" t="s">
        <v>82</v>
      </c>
      <c r="R13" s="58" t="s">
        <v>83</v>
      </c>
      <c r="S13" s="58" t="s">
        <v>84</v>
      </c>
      <c r="T13" s="58" t="s">
        <v>94</v>
      </c>
      <c r="U13" s="58" t="s">
        <v>95</v>
      </c>
      <c r="V13" s="58" t="s">
        <v>96</v>
      </c>
      <c r="W13" s="39" t="s">
        <v>121</v>
      </c>
      <c r="X13" s="39" t="s">
        <v>188</v>
      </c>
      <c r="Y13" s="39" t="s">
        <v>187</v>
      </c>
      <c r="Z13" s="39" t="s">
        <v>122</v>
      </c>
      <c r="AA13" s="39" t="s">
        <v>124</v>
      </c>
      <c r="AB13" s="39" t="s">
        <v>206</v>
      </c>
      <c r="AC13" s="39" t="s">
        <v>129</v>
      </c>
    </row>
    <row r="14" spans="1:29" x14ac:dyDescent="0.25">
      <c r="A14" s="91">
        <v>1</v>
      </c>
      <c r="B14" s="91"/>
      <c r="C14" s="91"/>
      <c r="D14" s="145"/>
      <c r="E14" s="100">
        <f>IF(C14=3,0,IF((D14-O14)&gt;введение!C$11,введение!C$11,IF((D14-O14)&lt;=введение!C$11,D14-O14,0)))</f>
        <v>0</v>
      </c>
      <c r="F14" s="145"/>
      <c r="G14" s="145"/>
      <c r="H14" s="148"/>
      <c r="I14" s="132">
        <f>IF(C14=3,D14-H14,D14-H14-E14-O14-F14-G14)</f>
        <v>0</v>
      </c>
      <c r="J14" s="147">
        <f>IF(C14=0,0,IF(C14&gt;1,0,IF(D14&lt;=введение!C$20*25,I14/100,I14/10)))</f>
        <v>0</v>
      </c>
      <c r="K14" s="147">
        <f>IF(C14=0,0,IF(C14=1,0,IF(C14=3,I14/10,IF(C14=2,IF(D14&lt;=введение!C$20*25,I14/100,I14/10)))))</f>
        <v>0</v>
      </c>
      <c r="L14" s="92"/>
      <c r="M14" s="21">
        <f>IF(C14=3,0,IF(N14=1,0,D14-L14))</f>
        <v>0</v>
      </c>
      <c r="N14" s="92"/>
      <c r="O14" s="21">
        <f>M14*10%</f>
        <v>0</v>
      </c>
      <c r="P14" s="92"/>
      <c r="Q14" s="21">
        <f>IF(C14=3,0,IF(N14=1,0,D14-O14-P14))</f>
        <v>0</v>
      </c>
      <c r="R14" s="21">
        <f>IF(OR(Q14&lt;=0,),0,MIN(MAX(введение!$C$11,Q14),введение!$C$14))</f>
        <v>0</v>
      </c>
      <c r="S14" s="21">
        <f>ROUND(R14*введение!C$15,0)</f>
        <v>0</v>
      </c>
      <c r="T14" s="92"/>
      <c r="U14" s="21">
        <f>ROUND(T14*0.05,0)</f>
        <v>0</v>
      </c>
      <c r="V14" s="21">
        <f>IF(D14=0,0,1)</f>
        <v>0</v>
      </c>
      <c r="W14" s="92"/>
      <c r="X14" s="128">
        <f>IF(C14=3,0,IF(D14&lt;=введение!C$20*25,I14*90/100,0))</f>
        <v>0</v>
      </c>
      <c r="Y14" s="132">
        <f>IF(C14=3,0,IF(N14=1,0,D14-W14-X14))</f>
        <v>0</v>
      </c>
      <c r="Z14" s="132">
        <f>IF(OR(Y14&lt;=0,),0,MIN(MIN(введение!$C$17,Y14),введение!$C$17))</f>
        <v>0</v>
      </c>
      <c r="AA14" s="132">
        <f>Z14*введение!C$18</f>
        <v>0</v>
      </c>
      <c r="AB14" s="132">
        <f>Z14*введение!C$22</f>
        <v>0</v>
      </c>
      <c r="AC14" s="132"/>
    </row>
    <row r="15" spans="1:29" x14ac:dyDescent="0.25">
      <c r="A15" s="91">
        <v>2</v>
      </c>
      <c r="B15" s="91"/>
      <c r="C15" s="91"/>
      <c r="D15" s="145"/>
      <c r="E15" s="100">
        <f>IF(C15=3,0,IF((D15-O15)&gt;введение!C$11,введение!C$11,IF((D15-O15)&lt;=введение!C$11,D15-O15,0)))</f>
        <v>0</v>
      </c>
      <c r="F15" s="145"/>
      <c r="G15" s="145"/>
      <c r="H15" s="148"/>
      <c r="I15" s="132">
        <f t="shared" ref="I15:I25" si="0">IF(C15=3,D15-H15,D15-H15-E15-O15-F15-G15)</f>
        <v>0</v>
      </c>
      <c r="J15" s="147">
        <f>IF(C15=0,0,IF(C15&gt;1,0,IF(D15&lt;=введение!C$20*25,I15/100,I15/10)))</f>
        <v>0</v>
      </c>
      <c r="K15" s="147">
        <f>IF(C15=0,0,IF(C15=1,0,IF(C15=3,I15/10,IF(C15=2,IF(D15&lt;=введение!C$20*25,I15/100,I15/10)))))</f>
        <v>0</v>
      </c>
      <c r="L15" s="92"/>
      <c r="M15" s="21">
        <f t="shared" ref="M15:M25" si="1">IF(C15=3,0,IF(N15=1,0,D15-L15))</f>
        <v>0</v>
      </c>
      <c r="N15" s="92"/>
      <c r="O15" s="21">
        <f t="shared" ref="O15:O25" si="2">M15*10%</f>
        <v>0</v>
      </c>
      <c r="P15" s="92"/>
      <c r="Q15" s="21">
        <f t="shared" ref="Q15:Q25" si="3">IF(C15=3,0,IF(N15=1,0,D15-O15-P15))</f>
        <v>0</v>
      </c>
      <c r="R15" s="21">
        <f>IF(OR(Q15&lt;=0,),0,MIN(MAX(введение!$C$11,Q15),введение!$C$14))</f>
        <v>0</v>
      </c>
      <c r="S15" s="21">
        <f>ROUND(R15*введение!C$15,0)</f>
        <v>0</v>
      </c>
      <c r="T15" s="92"/>
      <c r="U15" s="21">
        <f t="shared" ref="U15:U25" si="4">ROUND(T15*0.05,0)</f>
        <v>0</v>
      </c>
      <c r="V15" s="21">
        <f t="shared" ref="V15:V25" si="5">IF(D15=0,0,1)</f>
        <v>0</v>
      </c>
      <c r="W15" s="92"/>
      <c r="X15" s="128">
        <f>IF(C15=3,0,IF(D15&lt;=введение!C$20*25,I15*90/100,0))</f>
        <v>0</v>
      </c>
      <c r="Y15" s="132">
        <f t="shared" ref="Y15:Y25" si="6">IF(C15=3,0,IF(N15=1,0,D15-W15-X15))</f>
        <v>0</v>
      </c>
      <c r="Z15" s="132">
        <f>IF(OR(Y15&lt;=0,),0,MIN(MIN(введение!$C$17,Y15),введение!$C$17))</f>
        <v>0</v>
      </c>
      <c r="AA15" s="132">
        <f>Z15*введение!C$18</f>
        <v>0</v>
      </c>
      <c r="AB15" s="132">
        <f>Z15*введение!C$22</f>
        <v>0</v>
      </c>
      <c r="AC15" s="132"/>
    </row>
    <row r="16" spans="1:29" x14ac:dyDescent="0.25">
      <c r="A16" s="91">
        <v>3</v>
      </c>
      <c r="B16" s="91"/>
      <c r="C16" s="91"/>
      <c r="D16" s="145"/>
      <c r="E16" s="100">
        <f>IF(C16=3,0,IF((D16-O16)&gt;введение!C$11,введение!C$11,IF((D16-O16)&lt;=введение!C$11,D16-O16,0)))</f>
        <v>0</v>
      </c>
      <c r="F16" s="145"/>
      <c r="G16" s="145"/>
      <c r="H16" s="148"/>
      <c r="I16" s="132">
        <f t="shared" si="0"/>
        <v>0</v>
      </c>
      <c r="J16" s="147">
        <f>IF(C16=0,0,IF(C16&gt;1,0,IF(D16&lt;=введение!C$20*25,I16/100,I16/10)))</f>
        <v>0</v>
      </c>
      <c r="K16" s="147">
        <f>IF(C16=0,0,IF(C16=1,0,IF(C16=3,I16/10,IF(C16=2,IF(D16&lt;=введение!C$20*25,I16/100,I16/10)))))</f>
        <v>0</v>
      </c>
      <c r="L16" s="92"/>
      <c r="M16" s="21">
        <f t="shared" si="1"/>
        <v>0</v>
      </c>
      <c r="N16" s="92"/>
      <c r="O16" s="21">
        <f t="shared" si="2"/>
        <v>0</v>
      </c>
      <c r="P16" s="92"/>
      <c r="Q16" s="21">
        <f t="shared" si="3"/>
        <v>0</v>
      </c>
      <c r="R16" s="21">
        <f>IF(OR(Q16&lt;=0,),0,MIN(MAX(введение!$C$11,Q16),введение!$C$14))</f>
        <v>0</v>
      </c>
      <c r="S16" s="21">
        <f>ROUND(R16*введение!C$15,0)</f>
        <v>0</v>
      </c>
      <c r="T16" s="92"/>
      <c r="U16" s="21">
        <f t="shared" si="4"/>
        <v>0</v>
      </c>
      <c r="V16" s="21">
        <f t="shared" si="5"/>
        <v>0</v>
      </c>
      <c r="W16" s="92"/>
      <c r="X16" s="128">
        <f>IF(C16=3,0,IF(D16&lt;=введение!C$20*25,I16*90/100,0))</f>
        <v>0</v>
      </c>
      <c r="Y16" s="132">
        <f t="shared" si="6"/>
        <v>0</v>
      </c>
      <c r="Z16" s="132">
        <f>IF(OR(Y16&lt;=0,),0,MIN(MIN(введение!$C$17,Y16),введение!$C$17))</f>
        <v>0</v>
      </c>
      <c r="AA16" s="132">
        <f>Z16*введение!C$18</f>
        <v>0</v>
      </c>
      <c r="AB16" s="132">
        <f>Z16*введение!C$22</f>
        <v>0</v>
      </c>
      <c r="AC16" s="132"/>
    </row>
    <row r="17" spans="1:29" x14ac:dyDescent="0.25">
      <c r="A17" s="91">
        <v>4</v>
      </c>
      <c r="B17" s="91"/>
      <c r="C17" s="91"/>
      <c r="D17" s="145"/>
      <c r="E17" s="100">
        <f>IF(C17=3,0,IF((D17-O17)&gt;введение!C$11,введение!C$11,IF((D17-O17)&lt;=введение!C$11,D17-O17,0)))</f>
        <v>0</v>
      </c>
      <c r="F17" s="145"/>
      <c r="G17" s="145"/>
      <c r="H17" s="148"/>
      <c r="I17" s="132">
        <f t="shared" si="0"/>
        <v>0</v>
      </c>
      <c r="J17" s="147">
        <f>IF(C17=0,0,IF(C17&gt;1,0,IF(D17&lt;=введение!C$20*25,I17/100,I17/10)))</f>
        <v>0</v>
      </c>
      <c r="K17" s="147">
        <f>IF(C17=0,0,IF(C17=1,0,IF(C17=3,I17/10,IF(C17=2,IF(D17&lt;=введение!C$20*25,I17/100,I17/10)))))</f>
        <v>0</v>
      </c>
      <c r="L17" s="92"/>
      <c r="M17" s="21">
        <f t="shared" si="1"/>
        <v>0</v>
      </c>
      <c r="N17" s="92"/>
      <c r="O17" s="21">
        <f t="shared" si="2"/>
        <v>0</v>
      </c>
      <c r="P17" s="92"/>
      <c r="Q17" s="21">
        <f t="shared" si="3"/>
        <v>0</v>
      </c>
      <c r="R17" s="21">
        <f>IF(OR(Q17&lt;=0,),0,MIN(MAX(введение!$C$11,Q17),введение!$C$14))</f>
        <v>0</v>
      </c>
      <c r="S17" s="21">
        <f>ROUND(R17*введение!C$15,0)</f>
        <v>0</v>
      </c>
      <c r="T17" s="92"/>
      <c r="U17" s="21">
        <f t="shared" si="4"/>
        <v>0</v>
      </c>
      <c r="V17" s="21">
        <f t="shared" si="5"/>
        <v>0</v>
      </c>
      <c r="W17" s="92"/>
      <c r="X17" s="128">
        <f>IF(C17=3,0,IF(D17&lt;=введение!C$20*25,I17*90/100,0))</f>
        <v>0</v>
      </c>
      <c r="Y17" s="132">
        <f t="shared" si="6"/>
        <v>0</v>
      </c>
      <c r="Z17" s="132">
        <f>IF(OR(Y17&lt;=0,),0,MIN(MIN(введение!$C$17,Y17),введение!$C$17))</f>
        <v>0</v>
      </c>
      <c r="AA17" s="132">
        <f>Z17*введение!C$18</f>
        <v>0</v>
      </c>
      <c r="AB17" s="132">
        <f>Z17*введение!C$22</f>
        <v>0</v>
      </c>
      <c r="AC17" s="132"/>
    </row>
    <row r="18" spans="1:29" x14ac:dyDescent="0.25">
      <c r="A18" s="91">
        <v>5</v>
      </c>
      <c r="B18" s="91"/>
      <c r="C18" s="91"/>
      <c r="D18" s="91"/>
      <c r="E18" s="100">
        <f>IF(C18=3,0,IF((D18-O18)&gt;введение!C$11,введение!C$11,IF((D18-O18)&lt;=введение!C$11,D18-O18,0)))</f>
        <v>0</v>
      </c>
      <c r="F18" s="145"/>
      <c r="G18" s="145"/>
      <c r="H18" s="148"/>
      <c r="I18" s="132">
        <f t="shared" si="0"/>
        <v>0</v>
      </c>
      <c r="J18" s="147">
        <f>IF(C18=0,0,IF(C18&gt;1,0,IF(D18&lt;=введение!C$20*25,I18/100,I18/10)))</f>
        <v>0</v>
      </c>
      <c r="K18" s="147">
        <f>IF(C18=0,0,IF(C18=1,0,IF(C18=3,I18/10,IF(C18=2,IF(D18&lt;=введение!C$20*25,I18/100,I18/10)))))</f>
        <v>0</v>
      </c>
      <c r="L18" s="92"/>
      <c r="M18" s="21">
        <f t="shared" si="1"/>
        <v>0</v>
      </c>
      <c r="N18" s="92"/>
      <c r="O18" s="21">
        <f t="shared" si="2"/>
        <v>0</v>
      </c>
      <c r="P18" s="92"/>
      <c r="Q18" s="21">
        <f t="shared" si="3"/>
        <v>0</v>
      </c>
      <c r="R18" s="21">
        <f>IF(OR(Q18&lt;=0,),0,MIN(MAX(введение!$C$11,Q18),введение!$C$14))</f>
        <v>0</v>
      </c>
      <c r="S18" s="21">
        <f>ROUND(R18*введение!C$15,0)</f>
        <v>0</v>
      </c>
      <c r="T18" s="92"/>
      <c r="U18" s="21">
        <f t="shared" si="4"/>
        <v>0</v>
      </c>
      <c r="V18" s="21">
        <f t="shared" si="5"/>
        <v>0</v>
      </c>
      <c r="W18" s="92"/>
      <c r="X18" s="128">
        <f>IF(C18=3,0,IF(D18&lt;=введение!C$20*25,I18*90/100,0))</f>
        <v>0</v>
      </c>
      <c r="Y18" s="132">
        <f t="shared" si="6"/>
        <v>0</v>
      </c>
      <c r="Z18" s="132">
        <f>IF(OR(Y18&lt;=0,),0,MIN(MIN(введение!$C$17,Y18),введение!$C$17))</f>
        <v>0</v>
      </c>
      <c r="AA18" s="132">
        <f>Z18*введение!C$18</f>
        <v>0</v>
      </c>
      <c r="AB18" s="132">
        <f>Z18*введение!C$22</f>
        <v>0</v>
      </c>
      <c r="AC18" s="132"/>
    </row>
    <row r="19" spans="1:29" x14ac:dyDescent="0.25">
      <c r="A19" s="91">
        <v>6</v>
      </c>
      <c r="B19" s="91"/>
      <c r="C19" s="91"/>
      <c r="D19" s="91"/>
      <c r="E19" s="100">
        <f>IF(C19=3,0,IF((D19-O19)&gt;введение!C$11,введение!C$11,IF((D19-O19)&lt;=введение!C$11,D19-O19,0)))</f>
        <v>0</v>
      </c>
      <c r="F19" s="145"/>
      <c r="G19" s="145"/>
      <c r="H19" s="148"/>
      <c r="I19" s="132">
        <f t="shared" si="0"/>
        <v>0</v>
      </c>
      <c r="J19" s="147">
        <f>IF(C19=0,0,IF(C19&gt;1,0,IF(D19&lt;=введение!C$20*25,I19/100,I19/10)))</f>
        <v>0</v>
      </c>
      <c r="K19" s="147">
        <f>IF(C19=0,0,IF(C19=1,0,IF(C19=3,I19/10,IF(C19=2,IF(D19&lt;=введение!C$20*25,I19/100,I19/10)))))</f>
        <v>0</v>
      </c>
      <c r="L19" s="92"/>
      <c r="M19" s="21">
        <f t="shared" si="1"/>
        <v>0</v>
      </c>
      <c r="N19" s="92"/>
      <c r="O19" s="21">
        <f t="shared" si="2"/>
        <v>0</v>
      </c>
      <c r="P19" s="92"/>
      <c r="Q19" s="21">
        <f t="shared" si="3"/>
        <v>0</v>
      </c>
      <c r="R19" s="21">
        <f>IF(OR(Q19&lt;=0,),0,MIN(MAX(введение!$C$11,Q19),введение!$C$14))</f>
        <v>0</v>
      </c>
      <c r="S19" s="21">
        <f>ROUND(R19*введение!C$15,0)</f>
        <v>0</v>
      </c>
      <c r="T19" s="92"/>
      <c r="U19" s="21">
        <f t="shared" si="4"/>
        <v>0</v>
      </c>
      <c r="V19" s="21">
        <f t="shared" si="5"/>
        <v>0</v>
      </c>
      <c r="W19" s="92"/>
      <c r="X19" s="128">
        <f>IF(C19=3,0,IF(D19&lt;=введение!C$20*25,I19*90/100,0))</f>
        <v>0</v>
      </c>
      <c r="Y19" s="132">
        <f t="shared" si="6"/>
        <v>0</v>
      </c>
      <c r="Z19" s="132">
        <f>IF(OR(Y19&lt;=0,),0,MIN(MIN(введение!$C$17,Y19),введение!$C$17))</f>
        <v>0</v>
      </c>
      <c r="AA19" s="132">
        <f>Z19*введение!C$18</f>
        <v>0</v>
      </c>
      <c r="AB19" s="132">
        <f>Z19*введение!C$22</f>
        <v>0</v>
      </c>
      <c r="AC19" s="132"/>
    </row>
    <row r="20" spans="1:29" x14ac:dyDescent="0.25">
      <c r="A20" s="91">
        <v>7</v>
      </c>
      <c r="B20" s="91"/>
      <c r="C20" s="91"/>
      <c r="D20" s="91"/>
      <c r="E20" s="100">
        <f>IF(C20=3,0,IF((D20-O20)&gt;введение!C$11,введение!C$11,IF((D20-O20)&lt;=введение!C$11,D20-O20,0)))</f>
        <v>0</v>
      </c>
      <c r="F20" s="145"/>
      <c r="G20" s="145"/>
      <c r="H20" s="148"/>
      <c r="I20" s="132">
        <f t="shared" si="0"/>
        <v>0</v>
      </c>
      <c r="J20" s="147">
        <f>IF(C20=0,0,IF(C20&gt;1,0,IF(D20&lt;=введение!C$20*25,I20/100,I20/10)))</f>
        <v>0</v>
      </c>
      <c r="K20" s="147">
        <f>IF(C20=0,0,IF(C20=1,0,IF(C20=3,I20/10,IF(C20=2,IF(D20&lt;=введение!C$20*25,I20/100,I20/10)))))</f>
        <v>0</v>
      </c>
      <c r="L20" s="92"/>
      <c r="M20" s="21">
        <f t="shared" si="1"/>
        <v>0</v>
      </c>
      <c r="N20" s="92"/>
      <c r="O20" s="21">
        <f t="shared" si="2"/>
        <v>0</v>
      </c>
      <c r="P20" s="92"/>
      <c r="Q20" s="21">
        <f t="shared" si="3"/>
        <v>0</v>
      </c>
      <c r="R20" s="21">
        <f>IF(OR(Q20&lt;=0,),0,MIN(MAX(введение!$C$11,Q20),введение!$C$14))</f>
        <v>0</v>
      </c>
      <c r="S20" s="21">
        <f>ROUND(R20*введение!C$15,0)</f>
        <v>0</v>
      </c>
      <c r="T20" s="92"/>
      <c r="U20" s="21">
        <f t="shared" si="4"/>
        <v>0</v>
      </c>
      <c r="V20" s="21">
        <f t="shared" si="5"/>
        <v>0</v>
      </c>
      <c r="W20" s="92"/>
      <c r="X20" s="128">
        <f>IF(C20=3,0,IF(D20&lt;=введение!C$20*25,I20*90/100,0))</f>
        <v>0</v>
      </c>
      <c r="Y20" s="132">
        <f t="shared" si="6"/>
        <v>0</v>
      </c>
      <c r="Z20" s="132">
        <f>IF(OR(Y20&lt;=0,),0,MIN(MIN(введение!$C$17,Y20),введение!$C$17))</f>
        <v>0</v>
      </c>
      <c r="AA20" s="132">
        <f>Z20*введение!C$18</f>
        <v>0</v>
      </c>
      <c r="AB20" s="132">
        <f>Z20*введение!C$22</f>
        <v>0</v>
      </c>
      <c r="AC20" s="132"/>
    </row>
    <row r="21" spans="1:29" x14ac:dyDescent="0.25">
      <c r="A21" s="91">
        <v>8</v>
      </c>
      <c r="B21" s="91"/>
      <c r="C21" s="91"/>
      <c r="D21" s="91"/>
      <c r="E21" s="100">
        <f>IF(C21=3,0,IF((D21-O21)&gt;введение!C$11,введение!C$11,IF((D21-O21)&lt;=введение!C$11,D21-O21,0)))</f>
        <v>0</v>
      </c>
      <c r="F21" s="145"/>
      <c r="G21" s="145"/>
      <c r="H21" s="148"/>
      <c r="I21" s="132">
        <f t="shared" si="0"/>
        <v>0</v>
      </c>
      <c r="J21" s="147">
        <f>IF(C21=0,0,IF(C21&gt;1,0,IF(D21&lt;=введение!C$20*25,I21/100,I21/10)))</f>
        <v>0</v>
      </c>
      <c r="K21" s="147">
        <f>IF(C21=0,0,IF(C21=1,0,IF(C21=3,I21/10,IF(C21=2,IF(D21&lt;=введение!C$20*25,I21/100,I21/10)))))</f>
        <v>0</v>
      </c>
      <c r="L21" s="92"/>
      <c r="M21" s="21">
        <f t="shared" si="1"/>
        <v>0</v>
      </c>
      <c r="N21" s="92"/>
      <c r="O21" s="21">
        <f t="shared" si="2"/>
        <v>0</v>
      </c>
      <c r="P21" s="92"/>
      <c r="Q21" s="21">
        <f t="shared" si="3"/>
        <v>0</v>
      </c>
      <c r="R21" s="21">
        <f>IF(OR(Q21&lt;=0,),0,MIN(MAX(введение!$C$11,Q21),введение!$C$14))</f>
        <v>0</v>
      </c>
      <c r="S21" s="21">
        <f>ROUND(R21*введение!C$15,0)</f>
        <v>0</v>
      </c>
      <c r="T21" s="92"/>
      <c r="U21" s="21">
        <f t="shared" si="4"/>
        <v>0</v>
      </c>
      <c r="V21" s="21">
        <f t="shared" si="5"/>
        <v>0</v>
      </c>
      <c r="W21" s="92"/>
      <c r="X21" s="128">
        <f>IF(C21=3,0,IF(D21&lt;=введение!C$20*25,I21*90/100,0))</f>
        <v>0</v>
      </c>
      <c r="Y21" s="132">
        <f t="shared" si="6"/>
        <v>0</v>
      </c>
      <c r="Z21" s="132">
        <f>IF(OR(Y21&lt;=0,),0,MIN(MIN(введение!$C$17,Y21),введение!$C$17))</f>
        <v>0</v>
      </c>
      <c r="AA21" s="132">
        <f>Z21*введение!C$18</f>
        <v>0</v>
      </c>
      <c r="AB21" s="132">
        <f>Z21*введение!C$22</f>
        <v>0</v>
      </c>
      <c r="AC21" s="132"/>
    </row>
    <row r="22" spans="1:29" x14ac:dyDescent="0.25">
      <c r="A22" s="91">
        <v>9</v>
      </c>
      <c r="B22" s="91"/>
      <c r="C22" s="91"/>
      <c r="D22" s="91"/>
      <c r="E22" s="100">
        <f>IF(C22=3,0,IF((D22-O22)&gt;введение!C$11,введение!C$11,IF((D22-O22)&lt;=введение!C$11,D22-O22,0)))</f>
        <v>0</v>
      </c>
      <c r="F22" s="145"/>
      <c r="G22" s="145"/>
      <c r="H22" s="148"/>
      <c r="I22" s="132">
        <f t="shared" si="0"/>
        <v>0</v>
      </c>
      <c r="J22" s="147">
        <f>IF(C22=0,0,IF(C22&gt;1,0,IF(D22&lt;=введение!C$20*25,I22/100,I22/10)))</f>
        <v>0</v>
      </c>
      <c r="K22" s="147">
        <f>IF(C22=0,0,IF(C22=1,0,IF(C22=3,I22/10,IF(C22=2,IF(D22&lt;=введение!C$20*25,I22/100,I22/10)))))</f>
        <v>0</v>
      </c>
      <c r="L22" s="92"/>
      <c r="M22" s="21">
        <f t="shared" si="1"/>
        <v>0</v>
      </c>
      <c r="N22" s="92"/>
      <c r="O22" s="21">
        <f t="shared" si="2"/>
        <v>0</v>
      </c>
      <c r="P22" s="92"/>
      <c r="Q22" s="21">
        <f t="shared" si="3"/>
        <v>0</v>
      </c>
      <c r="R22" s="21">
        <f>IF(OR(Q22&lt;=0,),0,MIN(MAX(введение!$C$11,Q22),введение!$C$14))</f>
        <v>0</v>
      </c>
      <c r="S22" s="21">
        <f>ROUND(R22*введение!C$15,0)</f>
        <v>0</v>
      </c>
      <c r="T22" s="92"/>
      <c r="U22" s="21">
        <f t="shared" si="4"/>
        <v>0</v>
      </c>
      <c r="V22" s="21">
        <f t="shared" si="5"/>
        <v>0</v>
      </c>
      <c r="W22" s="92"/>
      <c r="X22" s="128">
        <f>IF(C22=3,0,IF(D22&lt;=введение!C$20*25,I22*90/100,0))</f>
        <v>0</v>
      </c>
      <c r="Y22" s="132">
        <f t="shared" si="6"/>
        <v>0</v>
      </c>
      <c r="Z22" s="132">
        <f>IF(OR(Y22&lt;=0,),0,MIN(MIN(введение!$C$17,Y22),введение!$C$17))</f>
        <v>0</v>
      </c>
      <c r="AA22" s="132">
        <f>Z22*введение!C$18</f>
        <v>0</v>
      </c>
      <c r="AB22" s="132">
        <f>Z22*введение!C$22</f>
        <v>0</v>
      </c>
      <c r="AC22" s="132"/>
    </row>
    <row r="23" spans="1:29" x14ac:dyDescent="0.25">
      <c r="A23" s="91">
        <v>10</v>
      </c>
      <c r="B23" s="91"/>
      <c r="C23" s="91"/>
      <c r="D23" s="91"/>
      <c r="E23" s="100">
        <f>IF(C23=3,0,IF((D23-O23)&gt;введение!C$11,введение!C$11,IF((D23-O23)&lt;=введение!C$11,D23-O23,0)))</f>
        <v>0</v>
      </c>
      <c r="F23" s="145"/>
      <c r="G23" s="145"/>
      <c r="H23" s="148"/>
      <c r="I23" s="132">
        <f t="shared" si="0"/>
        <v>0</v>
      </c>
      <c r="J23" s="147">
        <f>IF(C23=0,0,IF(C23&gt;1,0,IF(D23&lt;=введение!C$20*25,I23/100,I23/10)))</f>
        <v>0</v>
      </c>
      <c r="K23" s="147">
        <f>IF(C23=0,0,IF(C23=1,0,IF(C23=3,I23/10,IF(C23=2,IF(D23&lt;=введение!C$20*25,I23/100,I23/10)))))</f>
        <v>0</v>
      </c>
      <c r="L23" s="92"/>
      <c r="M23" s="21">
        <f t="shared" si="1"/>
        <v>0</v>
      </c>
      <c r="N23" s="92"/>
      <c r="O23" s="21">
        <f t="shared" si="2"/>
        <v>0</v>
      </c>
      <c r="P23" s="92"/>
      <c r="Q23" s="21">
        <f t="shared" si="3"/>
        <v>0</v>
      </c>
      <c r="R23" s="21">
        <f>IF(OR(Q23&lt;=0,),0,MIN(MAX(введение!$C$11,Q23),введение!$C$14))</f>
        <v>0</v>
      </c>
      <c r="S23" s="21">
        <f>ROUND(R23*введение!C$15,0)</f>
        <v>0</v>
      </c>
      <c r="T23" s="92"/>
      <c r="U23" s="21">
        <f t="shared" si="4"/>
        <v>0</v>
      </c>
      <c r="V23" s="21">
        <f t="shared" si="5"/>
        <v>0</v>
      </c>
      <c r="W23" s="92"/>
      <c r="X23" s="128">
        <f>IF(C23=3,0,IF(D23&lt;=введение!C$20*25,I23*90/100,0))</f>
        <v>0</v>
      </c>
      <c r="Y23" s="132">
        <f t="shared" si="6"/>
        <v>0</v>
      </c>
      <c r="Z23" s="132">
        <f>IF(OR(Y23&lt;=0,),0,MIN(MIN(введение!$C$17,Y23),введение!$C$17))</f>
        <v>0</v>
      </c>
      <c r="AA23" s="132">
        <f>Z23*введение!C$18</f>
        <v>0</v>
      </c>
      <c r="AB23" s="132">
        <f>Z23*введение!C$22</f>
        <v>0</v>
      </c>
      <c r="AC23" s="132"/>
    </row>
    <row r="24" spans="1:29" x14ac:dyDescent="0.25">
      <c r="A24" s="91">
        <v>11</v>
      </c>
      <c r="B24" s="91"/>
      <c r="C24" s="91"/>
      <c r="D24" s="91"/>
      <c r="E24" s="100">
        <f>IF(C24=3,0,IF((D24-O24)&gt;введение!C$11,введение!C$11,IF((D24-O24)&lt;=введение!C$11,D24-O24,0)))</f>
        <v>0</v>
      </c>
      <c r="F24" s="145"/>
      <c r="G24" s="145"/>
      <c r="H24" s="148"/>
      <c r="I24" s="132">
        <f t="shared" si="0"/>
        <v>0</v>
      </c>
      <c r="J24" s="147">
        <f>IF(C24=0,0,IF(C24&gt;1,0,IF(D24&lt;=введение!C$20*25,I24/100,I24/10)))</f>
        <v>0</v>
      </c>
      <c r="K24" s="147">
        <f>IF(C24=0,0,IF(C24=1,0,IF(C24=3,I24/10,IF(C24=2,IF(D24&lt;=введение!C$20*25,I24/100,I24/10)))))</f>
        <v>0</v>
      </c>
      <c r="L24" s="92"/>
      <c r="M24" s="21">
        <f t="shared" si="1"/>
        <v>0</v>
      </c>
      <c r="N24" s="92"/>
      <c r="O24" s="21">
        <f t="shared" si="2"/>
        <v>0</v>
      </c>
      <c r="P24" s="92"/>
      <c r="Q24" s="21">
        <f t="shared" si="3"/>
        <v>0</v>
      </c>
      <c r="R24" s="21">
        <f>IF(OR(Q24&lt;=0,),0,MIN(MAX(введение!$C$11,Q24),введение!$C$14))</f>
        <v>0</v>
      </c>
      <c r="S24" s="21">
        <f>ROUND(R24*введение!C$15,0)</f>
        <v>0</v>
      </c>
      <c r="T24" s="92"/>
      <c r="U24" s="21">
        <f t="shared" si="4"/>
        <v>0</v>
      </c>
      <c r="V24" s="21">
        <f t="shared" si="5"/>
        <v>0</v>
      </c>
      <c r="W24" s="92"/>
      <c r="X24" s="128">
        <f>IF(C24=3,0,IF(D24&lt;=введение!C$20*25,I24*90/100,0))</f>
        <v>0</v>
      </c>
      <c r="Y24" s="132">
        <f t="shared" si="6"/>
        <v>0</v>
      </c>
      <c r="Z24" s="132">
        <f>IF(OR(Y24&lt;=0,),0,MIN(MIN(введение!$C$17,Y24),введение!$C$17))</f>
        <v>0</v>
      </c>
      <c r="AA24" s="132">
        <f>Z24*введение!C$18</f>
        <v>0</v>
      </c>
      <c r="AB24" s="132">
        <f>Z24*введение!C$22</f>
        <v>0</v>
      </c>
      <c r="AC24" s="132"/>
    </row>
    <row r="25" spans="1:29" x14ac:dyDescent="0.25">
      <c r="A25" s="91">
        <v>12</v>
      </c>
      <c r="B25" s="91"/>
      <c r="C25" s="91"/>
      <c r="D25" s="91"/>
      <c r="E25" s="100">
        <f>IF(C25=3,0,IF((D25-O25)&gt;введение!C$11,введение!C$11,IF((D25-O25)&lt;=введение!C$11,D25-O25,0)))</f>
        <v>0</v>
      </c>
      <c r="F25" s="145"/>
      <c r="G25" s="145"/>
      <c r="H25" s="148"/>
      <c r="I25" s="132">
        <f t="shared" si="0"/>
        <v>0</v>
      </c>
      <c r="J25" s="147">
        <f>IF(C25=0,0,IF(C25&gt;1,0,IF(D25&lt;=введение!C$20*25,I25/100,I25/10)))</f>
        <v>0</v>
      </c>
      <c r="K25" s="147">
        <f>IF(C25=0,0,IF(C25=1,0,IF(C25=3,I25/10,IF(C25=2,IF(D25&lt;=введение!C$20*25,I25/100,I25/10)))))</f>
        <v>0</v>
      </c>
      <c r="L25" s="92"/>
      <c r="M25" s="21">
        <f t="shared" si="1"/>
        <v>0</v>
      </c>
      <c r="N25" s="92"/>
      <c r="O25" s="21">
        <f t="shared" si="2"/>
        <v>0</v>
      </c>
      <c r="P25" s="92"/>
      <c r="Q25" s="21">
        <f t="shared" si="3"/>
        <v>0</v>
      </c>
      <c r="R25" s="21">
        <f>IF(OR(Q25&lt;=0,),0,MIN(MAX(введение!$C$11,Q25),введение!$C$14))</f>
        <v>0</v>
      </c>
      <c r="S25" s="21">
        <f>ROUND(R25*введение!C$15,0)</f>
        <v>0</v>
      </c>
      <c r="T25" s="92"/>
      <c r="U25" s="21">
        <f t="shared" si="4"/>
        <v>0</v>
      </c>
      <c r="V25" s="21">
        <f t="shared" si="5"/>
        <v>0</v>
      </c>
      <c r="W25" s="92"/>
      <c r="X25" s="128">
        <f>IF(C25=3,0,IF(D25&lt;=введение!C$20*25,I25*90/100,0))</f>
        <v>0</v>
      </c>
      <c r="Y25" s="132">
        <f t="shared" si="6"/>
        <v>0</v>
      </c>
      <c r="Z25" s="132">
        <f>IF(OR(Y25&lt;=0,),0,MIN(MIN(введение!$C$17,Y25),введение!$C$17))</f>
        <v>0</v>
      </c>
      <c r="AA25" s="132">
        <f>Z25*введение!C$18</f>
        <v>0</v>
      </c>
      <c r="AB25" s="132">
        <f>Z25*введение!C$22</f>
        <v>0</v>
      </c>
      <c r="AC25" s="132"/>
    </row>
    <row r="26" spans="1:29" x14ac:dyDescent="0.25">
      <c r="A26" s="316" t="s">
        <v>73</v>
      </c>
      <c r="B26" s="317"/>
      <c r="C26" s="87"/>
      <c r="D26" s="22">
        <f>SUM(D14:D25)</f>
        <v>0</v>
      </c>
      <c r="E26" s="22">
        <f t="shared" ref="E26:U26" si="7">SUM(E14:E25)</f>
        <v>0</v>
      </c>
      <c r="F26" s="133">
        <f t="shared" si="7"/>
        <v>0</v>
      </c>
      <c r="G26" s="133">
        <f t="shared" si="7"/>
        <v>0</v>
      </c>
      <c r="H26" s="133">
        <f t="shared" si="7"/>
        <v>0</v>
      </c>
      <c r="I26" s="133">
        <f t="shared" si="7"/>
        <v>0</v>
      </c>
      <c r="J26" s="133">
        <f t="shared" si="7"/>
        <v>0</v>
      </c>
      <c r="K26" s="133">
        <f t="shared" si="7"/>
        <v>0</v>
      </c>
      <c r="L26" s="22">
        <f t="shared" si="7"/>
        <v>0</v>
      </c>
      <c r="M26" s="22">
        <f t="shared" si="7"/>
        <v>0</v>
      </c>
      <c r="N26" s="22">
        <f>SUM(N14:N25)</f>
        <v>0</v>
      </c>
      <c r="O26" s="22">
        <f>SUM(O14:O25)</f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>SUM(S14:S25)</f>
        <v>0</v>
      </c>
      <c r="T26" s="22">
        <f t="shared" si="7"/>
        <v>0</v>
      </c>
      <c r="U26" s="22">
        <f t="shared" si="7"/>
        <v>0</v>
      </c>
      <c r="V26" s="22">
        <f t="shared" ref="V26:AB26" si="8">SUM(V14:V25)</f>
        <v>0</v>
      </c>
      <c r="W26" s="22">
        <f t="shared" si="8"/>
        <v>0</v>
      </c>
      <c r="X26" s="133">
        <f t="shared" si="8"/>
        <v>0</v>
      </c>
      <c r="Y26" s="133">
        <f t="shared" si="8"/>
        <v>0</v>
      </c>
      <c r="Z26" s="133">
        <f t="shared" si="8"/>
        <v>0</v>
      </c>
      <c r="AA26" s="133">
        <f t="shared" si="8"/>
        <v>0</v>
      </c>
      <c r="AB26" s="133">
        <f t="shared" si="8"/>
        <v>0</v>
      </c>
      <c r="AC26" s="132">
        <f>IF(D26&gt;0,D26/V26,0)</f>
        <v>0</v>
      </c>
    </row>
    <row r="27" spans="1:29" x14ac:dyDescent="0.25">
      <c r="A27" s="42"/>
      <c r="B27" s="42"/>
      <c r="C27" s="42"/>
      <c r="D27" s="43"/>
      <c r="E27" s="43"/>
      <c r="F27" s="49"/>
      <c r="G27" s="49"/>
    </row>
    <row r="28" spans="1:29" x14ac:dyDescent="0.25">
      <c r="A28" s="44" t="s">
        <v>62</v>
      </c>
      <c r="B28" s="37"/>
      <c r="C28" s="37"/>
      <c r="D28"/>
      <c r="E28"/>
      <c r="F28"/>
      <c r="G28"/>
    </row>
    <row r="29" spans="1:29" x14ac:dyDescent="0.25">
      <c r="A29" s="37"/>
      <c r="B29" s="37"/>
      <c r="C29" s="37"/>
      <c r="D29"/>
      <c r="E29"/>
      <c r="F29"/>
      <c r="G29"/>
    </row>
    <row r="30" spans="1:29" x14ac:dyDescent="0.25">
      <c r="A30" s="42"/>
      <c r="B30" s="42"/>
      <c r="C30" s="42"/>
      <c r="D30" s="43"/>
      <c r="E30" s="43"/>
      <c r="F30" s="49"/>
      <c r="G30" s="49"/>
    </row>
    <row r="31" spans="1:29" x14ac:dyDescent="0.25">
      <c r="A31" s="44" t="s">
        <v>63</v>
      </c>
      <c r="B31" s="37"/>
      <c r="C31" s="37"/>
      <c r="D31"/>
      <c r="E31"/>
      <c r="F31"/>
      <c r="G31"/>
    </row>
    <row r="32" spans="1:29" x14ac:dyDescent="0.25">
      <c r="A32" s="37"/>
      <c r="B32" s="37"/>
      <c r="C32" s="37"/>
      <c r="D32"/>
      <c r="E32"/>
      <c r="F32"/>
      <c r="G32"/>
    </row>
    <row r="33" spans="1:7" x14ac:dyDescent="0.25">
      <c r="A33" s="42"/>
      <c r="B33" s="42"/>
      <c r="C33" s="42"/>
      <c r="D33" s="43"/>
      <c r="E33" s="43"/>
      <c r="F33" s="49"/>
      <c r="G33" s="49"/>
    </row>
    <row r="34" spans="1:7" x14ac:dyDescent="0.25">
      <c r="A34" s="44" t="s">
        <v>74</v>
      </c>
      <c r="B34" s="37"/>
      <c r="C34" s="37"/>
      <c r="D34"/>
      <c r="E34"/>
      <c r="F34"/>
      <c r="G34"/>
    </row>
    <row r="35" spans="1:7" x14ac:dyDescent="0.25">
      <c r="A35" s="37"/>
      <c r="B35" s="37"/>
      <c r="C35" s="37"/>
      <c r="D35"/>
      <c r="E35"/>
      <c r="F35"/>
      <c r="G35"/>
    </row>
    <row r="36" spans="1:7" x14ac:dyDescent="0.25">
      <c r="A36" s="42"/>
      <c r="B36" s="42"/>
      <c r="C36" s="42"/>
      <c r="D36" s="43"/>
      <c r="E36"/>
      <c r="F36"/>
      <c r="G36"/>
    </row>
    <row r="37" spans="1:7" x14ac:dyDescent="0.25">
      <c r="A37" s="44" t="s">
        <v>64</v>
      </c>
      <c r="B37" s="37"/>
      <c r="C37" s="37"/>
      <c r="D37"/>
      <c r="E37"/>
      <c r="F37"/>
      <c r="G37"/>
    </row>
    <row r="38" spans="1:7" x14ac:dyDescent="0.25">
      <c r="A38" s="49"/>
      <c r="B38" s="49"/>
      <c r="C38" s="49"/>
      <c r="D38" s="49"/>
      <c r="E38" s="49"/>
      <c r="F38" s="49"/>
      <c r="G38" s="49"/>
    </row>
  </sheetData>
  <mergeCells count="2">
    <mergeCell ref="A11:H11"/>
    <mergeCell ref="A26:B2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AC38"/>
  <sheetViews>
    <sheetView topLeftCell="A12" workbookViewId="0">
      <selection activeCell="F18" sqref="F18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8" width="8.7109375" style="17"/>
    <col min="9" max="9" width="11" style="17" customWidth="1"/>
    <col min="10" max="10" width="9.5703125" style="17" customWidth="1"/>
    <col min="11" max="11" width="10" style="17" customWidth="1"/>
    <col min="12" max="12" width="12.5703125" style="17" customWidth="1"/>
    <col min="13" max="13" width="8.7109375" style="17"/>
    <col min="14" max="14" width="10.42578125" style="17" customWidth="1"/>
    <col min="15" max="15" width="13.7109375" style="17" customWidth="1"/>
    <col min="16" max="16" width="15.42578125" style="17" customWidth="1"/>
    <col min="17" max="17" width="16" style="17" customWidth="1"/>
    <col min="18" max="18" width="19.7109375" style="17" customWidth="1"/>
    <col min="19" max="19" width="13" style="17" customWidth="1"/>
    <col min="20" max="23" width="8.7109375" style="17"/>
    <col min="24" max="24" width="15" style="5" bestFit="1" customWidth="1"/>
    <col min="25" max="26" width="14.5703125" style="17" bestFit="1" customWidth="1"/>
    <col min="27" max="27" width="11.85546875" style="17" bestFit="1" customWidth="1"/>
    <col min="28" max="28" width="11.85546875" style="17" customWidth="1"/>
    <col min="29" max="29" width="13.28515625" style="17" bestFit="1" customWidth="1"/>
    <col min="30" max="16384" width="8.7109375" style="17"/>
  </cols>
  <sheetData>
    <row r="2" spans="1:29" x14ac:dyDescent="0.25">
      <c r="K2" s="19"/>
      <c r="S2" s="18" t="s">
        <v>14</v>
      </c>
    </row>
    <row r="3" spans="1:29" x14ac:dyDescent="0.25">
      <c r="A3" s="20"/>
      <c r="B3" s="20"/>
      <c r="C3" s="20"/>
      <c r="D3" s="20"/>
    </row>
    <row r="4" spans="1:29" x14ac:dyDescent="0.25">
      <c r="A4" s="20"/>
      <c r="B4" s="20"/>
      <c r="C4" s="20"/>
      <c r="D4" s="20"/>
    </row>
    <row r="5" spans="1:29" x14ac:dyDescent="0.25">
      <c r="A5" s="56" t="s">
        <v>67</v>
      </c>
      <c r="B5" s="43"/>
      <c r="C5" s="56"/>
      <c r="D5" s="56"/>
    </row>
    <row r="6" spans="1:29" x14ac:dyDescent="0.25">
      <c r="A6" s="36"/>
      <c r="B6" s="36"/>
      <c r="C6" s="36"/>
      <c r="D6" s="36"/>
    </row>
    <row r="7" spans="1:29" x14ac:dyDescent="0.25">
      <c r="A7" s="36">
        <v>1</v>
      </c>
      <c r="B7" s="56" t="s">
        <v>68</v>
      </c>
      <c r="C7" s="56"/>
      <c r="D7" s="56"/>
    </row>
    <row r="8" spans="1:29" x14ac:dyDescent="0.25">
      <c r="A8" s="36">
        <v>2</v>
      </c>
      <c r="B8" s="57" t="s">
        <v>15</v>
      </c>
      <c r="C8" s="57"/>
      <c r="D8" s="74">
        <f>'№ 910 Декларация '!D8</f>
        <v>461040002572</v>
      </c>
    </row>
    <row r="9" spans="1:29" x14ac:dyDescent="0.25">
      <c r="A9" s="36">
        <v>3</v>
      </c>
      <c r="B9" s="56" t="s">
        <v>93</v>
      </c>
      <c r="C9" s="56"/>
      <c r="D9" s="56" t="str">
        <f>IF('№ 910 Декларация '!L12=1,"март","сентябрь")</f>
        <v>март</v>
      </c>
      <c r="E9" s="17">
        <f>'№ 910 Декларация '!O12</f>
        <v>2020</v>
      </c>
    </row>
    <row r="10" spans="1:29" x14ac:dyDescent="0.25">
      <c r="A10" s="49"/>
      <c r="B10" s="49"/>
      <c r="C10" s="49"/>
      <c r="D10" s="49"/>
      <c r="E10" s="49"/>
      <c r="F10" s="49"/>
      <c r="G10" s="49"/>
    </row>
    <row r="11" spans="1:29" ht="43.5" customHeight="1" x14ac:dyDescent="0.25">
      <c r="A11" s="315" t="s">
        <v>171</v>
      </c>
      <c r="B11" s="315"/>
      <c r="C11" s="315"/>
      <c r="D11" s="315"/>
      <c r="E11" s="315"/>
      <c r="F11" s="315"/>
      <c r="G11" s="315"/>
      <c r="H11" s="315"/>
    </row>
    <row r="12" spans="1:29" x14ac:dyDescent="0.25">
      <c r="A12" s="49"/>
      <c r="B12" s="49"/>
      <c r="C12" s="49"/>
      <c r="D12" s="49"/>
      <c r="E12" s="49"/>
      <c r="F12" s="49"/>
      <c r="G12" s="49"/>
    </row>
    <row r="13" spans="1:29" ht="153" x14ac:dyDescent="0.25">
      <c r="A13" s="58" t="s">
        <v>69</v>
      </c>
      <c r="B13" s="58" t="s">
        <v>70</v>
      </c>
      <c r="C13" s="39" t="s">
        <v>133</v>
      </c>
      <c r="D13" s="39" t="s">
        <v>71</v>
      </c>
      <c r="E13" s="39" t="s">
        <v>211</v>
      </c>
      <c r="F13" s="39" t="s">
        <v>210</v>
      </c>
      <c r="G13" s="39" t="s">
        <v>209</v>
      </c>
      <c r="H13" s="58" t="s">
        <v>76</v>
      </c>
      <c r="I13" s="58" t="s">
        <v>77</v>
      </c>
      <c r="J13" s="39" t="s">
        <v>134</v>
      </c>
      <c r="K13" s="39" t="s">
        <v>135</v>
      </c>
      <c r="L13" s="58" t="s">
        <v>78</v>
      </c>
      <c r="M13" s="58" t="s">
        <v>79</v>
      </c>
      <c r="N13" s="58" t="s">
        <v>104</v>
      </c>
      <c r="O13" s="58" t="s">
        <v>80</v>
      </c>
      <c r="P13" s="58" t="s">
        <v>81</v>
      </c>
      <c r="Q13" s="58" t="s">
        <v>82</v>
      </c>
      <c r="R13" s="58" t="s">
        <v>83</v>
      </c>
      <c r="S13" s="58" t="s">
        <v>84</v>
      </c>
      <c r="T13" s="58" t="s">
        <v>94</v>
      </c>
      <c r="U13" s="58" t="s">
        <v>95</v>
      </c>
      <c r="V13" s="58" t="s">
        <v>96</v>
      </c>
      <c r="W13" s="39" t="s">
        <v>121</v>
      </c>
      <c r="X13" s="39" t="s">
        <v>188</v>
      </c>
      <c r="Y13" s="39" t="s">
        <v>187</v>
      </c>
      <c r="Z13" s="39" t="s">
        <v>122</v>
      </c>
      <c r="AA13" s="39" t="s">
        <v>124</v>
      </c>
      <c r="AB13" s="39" t="s">
        <v>206</v>
      </c>
      <c r="AC13" s="39" t="s">
        <v>129</v>
      </c>
    </row>
    <row r="14" spans="1:29" x14ac:dyDescent="0.25">
      <c r="A14" s="91">
        <v>1</v>
      </c>
      <c r="B14" s="91"/>
      <c r="C14" s="91"/>
      <c r="D14" s="145"/>
      <c r="E14" s="100">
        <f>IF(C14=3,0,IF((D14-O14)&gt;введение!C$11,введение!C$11,IF((D14-O14)&lt;=введение!C$11,D14-O14,0)))</f>
        <v>0</v>
      </c>
      <c r="F14" s="145"/>
      <c r="G14" s="145"/>
      <c r="H14" s="148"/>
      <c r="I14" s="132">
        <f>IF(C14=3,D14-H14,D14-H14-E14-O14-F14-G14)</f>
        <v>0</v>
      </c>
      <c r="J14" s="147">
        <f>IF(C14=0,0,IF(C14&gt;1,0,IF(D14&lt;=введение!C$20*25,I14/100,I14/10)))</f>
        <v>0</v>
      </c>
      <c r="K14" s="147">
        <f>IF(C14=0,0,IF(C14=1,0,IF(C14=3,I14/10,IF(C14=2,IF(D14&lt;=введение!C$20*25,I14/100,I14/10)))))</f>
        <v>0</v>
      </c>
      <c r="L14" s="92"/>
      <c r="M14" s="21">
        <f>IF(C14=3,0,IF(N14=1,0,D14-L14))</f>
        <v>0</v>
      </c>
      <c r="N14" s="92"/>
      <c r="O14" s="21">
        <f>M14*10%</f>
        <v>0</v>
      </c>
      <c r="P14" s="92"/>
      <c r="Q14" s="21">
        <f>IF(C14=3,0,IF(N14=1,0,D14-O14-P14))</f>
        <v>0</v>
      </c>
      <c r="R14" s="21">
        <f>IF(OR(Q14&lt;=0,),0,MIN(MAX(введение!$C$11,Q14),введение!$C$14))</f>
        <v>0</v>
      </c>
      <c r="S14" s="21">
        <f>ROUND(R14*введение!C$15,0)</f>
        <v>0</v>
      </c>
      <c r="T14" s="92"/>
      <c r="U14" s="21">
        <f>ROUND(T14*0.05,0)</f>
        <v>0</v>
      </c>
      <c r="V14" s="21">
        <f>IF(D14=0,0,1)</f>
        <v>0</v>
      </c>
      <c r="W14" s="92"/>
      <c r="X14" s="128">
        <f>IF(C14=3,0,IF(D14&lt;=введение!C$20*25,I14*90/100,0))</f>
        <v>0</v>
      </c>
      <c r="Y14" s="132">
        <f>IF(C14=3,0,IF(N14=1,0,D14-W14-X14))</f>
        <v>0</v>
      </c>
      <c r="Z14" s="132">
        <f>IF(OR(Y14&lt;=0,),0,MIN(MIN(введение!$C$17,Y14),введение!$C$17))</f>
        <v>0</v>
      </c>
      <c r="AA14" s="132">
        <f>Z14*введение!C$18</f>
        <v>0</v>
      </c>
      <c r="AB14" s="132">
        <f>Z14*введение!C$22</f>
        <v>0</v>
      </c>
      <c r="AC14" s="132"/>
    </row>
    <row r="15" spans="1:29" x14ac:dyDescent="0.25">
      <c r="A15" s="91">
        <v>2</v>
      </c>
      <c r="B15" s="91"/>
      <c r="C15" s="91"/>
      <c r="D15" s="145"/>
      <c r="E15" s="100">
        <f>IF(C15=3,0,IF((D15-O15)&gt;введение!C$11,введение!C$11,IF((D15-O15)&lt;=введение!C$11,D15-O15,0)))</f>
        <v>0</v>
      </c>
      <c r="F15" s="145"/>
      <c r="G15" s="145"/>
      <c r="H15" s="148"/>
      <c r="I15" s="132">
        <f t="shared" ref="I15:I25" si="0">IF(C15=3,D15-H15,D15-H15-E15-O15-F15-G15)</f>
        <v>0</v>
      </c>
      <c r="J15" s="147">
        <f>IF(C15=0,0,IF(C15&gt;1,0,IF(D15&lt;=введение!C$20*25,I15/100,I15/10)))</f>
        <v>0</v>
      </c>
      <c r="K15" s="147">
        <f>IF(C15=0,0,IF(C15=1,0,IF(C15=3,I15/10,IF(C15=2,IF(D15&lt;=введение!C$20*25,I15/100,I15/10)))))</f>
        <v>0</v>
      </c>
      <c r="L15" s="92"/>
      <c r="M15" s="21">
        <f t="shared" ref="M15:M25" si="1">IF(C15=3,0,IF(N15=1,0,D15-L15))</f>
        <v>0</v>
      </c>
      <c r="N15" s="92"/>
      <c r="O15" s="21">
        <f t="shared" ref="O15:O25" si="2">M15*10%</f>
        <v>0</v>
      </c>
      <c r="P15" s="92"/>
      <c r="Q15" s="21">
        <f t="shared" ref="Q15:Q25" si="3">IF(C15=3,0,IF(N15=1,0,D15-O15-P15))</f>
        <v>0</v>
      </c>
      <c r="R15" s="21">
        <f>IF(OR(Q15&lt;=0,),0,MIN(MAX(введение!$C$11,Q15),введение!$C$14))</f>
        <v>0</v>
      </c>
      <c r="S15" s="21">
        <f>ROUND(R15*введение!C$15,0)</f>
        <v>0</v>
      </c>
      <c r="T15" s="92"/>
      <c r="U15" s="21">
        <f t="shared" ref="U15:U25" si="4">ROUND(T15*0.05,0)</f>
        <v>0</v>
      </c>
      <c r="V15" s="21">
        <f t="shared" ref="V15:V25" si="5">IF(D15=0,0,1)</f>
        <v>0</v>
      </c>
      <c r="W15" s="92"/>
      <c r="X15" s="128">
        <f>IF(C15=3,0,IF(D15&lt;=введение!C$20*25,I15*90/100,0))</f>
        <v>0</v>
      </c>
      <c r="Y15" s="132">
        <f t="shared" ref="Y15:Y25" si="6">IF(C15=3,0,IF(N15=1,0,D15-W15-X15))</f>
        <v>0</v>
      </c>
      <c r="Z15" s="132">
        <f>IF(OR(Y15&lt;=0,),0,MIN(MIN(введение!$C$17,Y15),введение!$C$17))</f>
        <v>0</v>
      </c>
      <c r="AA15" s="132">
        <f>Z15*введение!C$18</f>
        <v>0</v>
      </c>
      <c r="AB15" s="132">
        <f>Z15*введение!C$22</f>
        <v>0</v>
      </c>
      <c r="AC15" s="132"/>
    </row>
    <row r="16" spans="1:29" x14ac:dyDescent="0.25">
      <c r="A16" s="91">
        <v>3</v>
      </c>
      <c r="B16" s="91"/>
      <c r="C16" s="91"/>
      <c r="D16" s="145"/>
      <c r="E16" s="100">
        <f>IF(C16=3,0,IF((D16-O16)&gt;введение!C$11,введение!C$11,IF((D16-O16)&lt;=введение!C$11,D16-O16,0)))</f>
        <v>0</v>
      </c>
      <c r="F16" s="145"/>
      <c r="G16" s="145"/>
      <c r="H16" s="148"/>
      <c r="I16" s="132">
        <f t="shared" si="0"/>
        <v>0</v>
      </c>
      <c r="J16" s="147">
        <f>IF(C16=0,0,IF(C16&gt;1,0,IF(D16&lt;=введение!C$20*25,I16/100,I16/10)))</f>
        <v>0</v>
      </c>
      <c r="K16" s="147">
        <f>IF(C16=0,0,IF(C16=1,0,IF(C16=3,I16/10,IF(C16=2,IF(D16&lt;=введение!C$20*25,I16/100,I16/10)))))</f>
        <v>0</v>
      </c>
      <c r="L16" s="92"/>
      <c r="M16" s="21">
        <f t="shared" si="1"/>
        <v>0</v>
      </c>
      <c r="N16" s="92"/>
      <c r="O16" s="21">
        <f t="shared" si="2"/>
        <v>0</v>
      </c>
      <c r="P16" s="92"/>
      <c r="Q16" s="21">
        <f t="shared" si="3"/>
        <v>0</v>
      </c>
      <c r="R16" s="21">
        <f>IF(OR(Q16&lt;=0,),0,MIN(MAX(введение!$C$11,Q16),введение!$C$14))</f>
        <v>0</v>
      </c>
      <c r="S16" s="21">
        <f>ROUND(R16*введение!C$15,0)</f>
        <v>0</v>
      </c>
      <c r="T16" s="92"/>
      <c r="U16" s="21">
        <f t="shared" si="4"/>
        <v>0</v>
      </c>
      <c r="V16" s="21">
        <f t="shared" si="5"/>
        <v>0</v>
      </c>
      <c r="W16" s="92"/>
      <c r="X16" s="128">
        <f>IF(C16=3,0,IF(D16&lt;=введение!C$20*25,I16*90/100,0))</f>
        <v>0</v>
      </c>
      <c r="Y16" s="132">
        <f t="shared" si="6"/>
        <v>0</v>
      </c>
      <c r="Z16" s="132">
        <f>IF(OR(Y16&lt;=0,),0,MIN(MIN(введение!$C$17,Y16),введение!$C$17))</f>
        <v>0</v>
      </c>
      <c r="AA16" s="132">
        <f>Z16*введение!C$18</f>
        <v>0</v>
      </c>
      <c r="AB16" s="132">
        <f>Z16*введение!C$22</f>
        <v>0</v>
      </c>
      <c r="AC16" s="132"/>
    </row>
    <row r="17" spans="1:29" x14ac:dyDescent="0.25">
      <c r="A17" s="91">
        <v>4</v>
      </c>
      <c r="B17" s="91"/>
      <c r="C17" s="91"/>
      <c r="D17" s="145"/>
      <c r="E17" s="100">
        <f>IF(C17=3,0,IF((D17-O17)&gt;введение!C$11,введение!C$11,IF((D17-O17)&lt;=введение!C$11,D17-O17,0)))</f>
        <v>0</v>
      </c>
      <c r="F17" s="145"/>
      <c r="G17" s="145"/>
      <c r="H17" s="148"/>
      <c r="I17" s="132">
        <f t="shared" si="0"/>
        <v>0</v>
      </c>
      <c r="J17" s="147">
        <f>IF(C17=0,0,IF(C17&gt;1,0,IF(D17&lt;=введение!C$20*25,I17/100,I17/10)))</f>
        <v>0</v>
      </c>
      <c r="K17" s="147">
        <f>IF(C17=0,0,IF(C17=1,0,IF(C17=3,I17/10,IF(C17=2,IF(D17&lt;=введение!C$20*25,I17/100,I17/10)))))</f>
        <v>0</v>
      </c>
      <c r="L17" s="92"/>
      <c r="M17" s="21">
        <f t="shared" si="1"/>
        <v>0</v>
      </c>
      <c r="N17" s="92"/>
      <c r="O17" s="21">
        <f t="shared" si="2"/>
        <v>0</v>
      </c>
      <c r="P17" s="92"/>
      <c r="Q17" s="21">
        <f t="shared" si="3"/>
        <v>0</v>
      </c>
      <c r="R17" s="21">
        <f>IF(OR(Q17&lt;=0,),0,MIN(MAX(введение!$C$11,Q17),введение!$C$14))</f>
        <v>0</v>
      </c>
      <c r="S17" s="21">
        <f>ROUND(R17*введение!C$15,0)</f>
        <v>0</v>
      </c>
      <c r="T17" s="92"/>
      <c r="U17" s="21">
        <f t="shared" si="4"/>
        <v>0</v>
      </c>
      <c r="V17" s="21">
        <f t="shared" si="5"/>
        <v>0</v>
      </c>
      <c r="W17" s="92"/>
      <c r="X17" s="128">
        <f>IF(C17=3,0,IF(D17&lt;=введение!C$20*25,I17*90/100,0))</f>
        <v>0</v>
      </c>
      <c r="Y17" s="132">
        <f t="shared" si="6"/>
        <v>0</v>
      </c>
      <c r="Z17" s="132">
        <f>IF(OR(Y17&lt;=0,),0,MIN(MIN(введение!$C$17,Y17),введение!$C$17))</f>
        <v>0</v>
      </c>
      <c r="AA17" s="132">
        <f>Z17*введение!C$18</f>
        <v>0</v>
      </c>
      <c r="AB17" s="132">
        <f>Z17*введение!C$22</f>
        <v>0</v>
      </c>
      <c r="AC17" s="132"/>
    </row>
    <row r="18" spans="1:29" x14ac:dyDescent="0.25">
      <c r="A18" s="91">
        <v>5</v>
      </c>
      <c r="B18" s="91"/>
      <c r="C18" s="91"/>
      <c r="D18" s="91"/>
      <c r="E18" s="100">
        <f>IF(C18=3,0,IF((D18-O18)&gt;введение!C$11,введение!C$11,IF((D18-O18)&lt;=введение!C$11,D18-O18,0)))</f>
        <v>0</v>
      </c>
      <c r="F18" s="145"/>
      <c r="G18" s="145"/>
      <c r="H18" s="148"/>
      <c r="I18" s="132">
        <f t="shared" si="0"/>
        <v>0</v>
      </c>
      <c r="J18" s="147">
        <f>IF(C18=0,0,IF(C18&gt;1,0,IF(D18&lt;=введение!C$20*25,I18/100,I18/10)))</f>
        <v>0</v>
      </c>
      <c r="K18" s="147">
        <f>IF(C18=0,0,IF(C18=1,0,IF(C18=3,I18/10,IF(C18=2,IF(D18&lt;=введение!C$20*25,I18/100,I18/10)))))</f>
        <v>0</v>
      </c>
      <c r="L18" s="92"/>
      <c r="M18" s="21">
        <f t="shared" si="1"/>
        <v>0</v>
      </c>
      <c r="N18" s="92"/>
      <c r="O18" s="21">
        <f t="shared" si="2"/>
        <v>0</v>
      </c>
      <c r="P18" s="92"/>
      <c r="Q18" s="21">
        <f t="shared" si="3"/>
        <v>0</v>
      </c>
      <c r="R18" s="21">
        <f>IF(OR(Q18&lt;=0,),0,MIN(MAX(введение!$C$11,Q18),введение!$C$14))</f>
        <v>0</v>
      </c>
      <c r="S18" s="21">
        <f>ROUND(R18*введение!C$15,0)</f>
        <v>0</v>
      </c>
      <c r="T18" s="92"/>
      <c r="U18" s="21">
        <f t="shared" si="4"/>
        <v>0</v>
      </c>
      <c r="V18" s="21">
        <f t="shared" si="5"/>
        <v>0</v>
      </c>
      <c r="W18" s="92"/>
      <c r="X18" s="128">
        <f>IF(C18=3,0,IF(D18&lt;=введение!C$20*25,I18*90/100,0))</f>
        <v>0</v>
      </c>
      <c r="Y18" s="132">
        <f t="shared" si="6"/>
        <v>0</v>
      </c>
      <c r="Z18" s="132">
        <f>IF(OR(Y18&lt;=0,),0,MIN(MIN(введение!$C$17,Y18),введение!$C$17))</f>
        <v>0</v>
      </c>
      <c r="AA18" s="132">
        <f>Z18*введение!C$18</f>
        <v>0</v>
      </c>
      <c r="AB18" s="132">
        <f>Z18*введение!C$22</f>
        <v>0</v>
      </c>
      <c r="AC18" s="132"/>
    </row>
    <row r="19" spans="1:29" x14ac:dyDescent="0.25">
      <c r="A19" s="91">
        <v>6</v>
      </c>
      <c r="B19" s="91"/>
      <c r="C19" s="91"/>
      <c r="D19" s="91"/>
      <c r="E19" s="100">
        <f>IF(C19=3,0,IF((D19-O19)&gt;введение!C$11,введение!C$11,IF((D19-O19)&lt;=введение!C$11,D19-O19,0)))</f>
        <v>0</v>
      </c>
      <c r="F19" s="145"/>
      <c r="G19" s="145"/>
      <c r="H19" s="148"/>
      <c r="I19" s="132">
        <f t="shared" si="0"/>
        <v>0</v>
      </c>
      <c r="J19" s="147">
        <f>IF(C19=0,0,IF(C19&gt;1,0,IF(D19&lt;=введение!C$20*25,I19/100,I19/10)))</f>
        <v>0</v>
      </c>
      <c r="K19" s="147">
        <f>IF(C19=0,0,IF(C19=1,0,IF(C19=3,I19/10,IF(C19=2,IF(D19&lt;=введение!C$20*25,I19/100,I19/10)))))</f>
        <v>0</v>
      </c>
      <c r="L19" s="92"/>
      <c r="M19" s="21">
        <f t="shared" si="1"/>
        <v>0</v>
      </c>
      <c r="N19" s="92"/>
      <c r="O19" s="21">
        <f t="shared" si="2"/>
        <v>0</v>
      </c>
      <c r="P19" s="92"/>
      <c r="Q19" s="21">
        <f t="shared" si="3"/>
        <v>0</v>
      </c>
      <c r="R19" s="21">
        <f>IF(OR(Q19&lt;=0,),0,MIN(MAX(введение!$C$11,Q19),введение!$C$14))</f>
        <v>0</v>
      </c>
      <c r="S19" s="21">
        <f>ROUND(R19*введение!C$15,0)</f>
        <v>0</v>
      </c>
      <c r="T19" s="92"/>
      <c r="U19" s="21">
        <f t="shared" si="4"/>
        <v>0</v>
      </c>
      <c r="V19" s="21">
        <f t="shared" si="5"/>
        <v>0</v>
      </c>
      <c r="W19" s="92"/>
      <c r="X19" s="128">
        <f>IF(C19=3,0,IF(D19&lt;=введение!C$20*25,I19*90/100,0))</f>
        <v>0</v>
      </c>
      <c r="Y19" s="132">
        <f t="shared" si="6"/>
        <v>0</v>
      </c>
      <c r="Z19" s="132">
        <f>IF(OR(Y19&lt;=0,),0,MIN(MIN(введение!$C$17,Y19),введение!$C$17))</f>
        <v>0</v>
      </c>
      <c r="AA19" s="132">
        <f>Z19*введение!C$18</f>
        <v>0</v>
      </c>
      <c r="AB19" s="132">
        <f>Z19*введение!C$22</f>
        <v>0</v>
      </c>
      <c r="AC19" s="132"/>
    </row>
    <row r="20" spans="1:29" x14ac:dyDescent="0.25">
      <c r="A20" s="91">
        <v>7</v>
      </c>
      <c r="B20" s="91"/>
      <c r="C20" s="91"/>
      <c r="D20" s="91"/>
      <c r="E20" s="100">
        <f>IF(C20=3,0,IF((D20-O20)&gt;введение!C$11,введение!C$11,IF((D20-O20)&lt;=введение!C$11,D20-O20,0)))</f>
        <v>0</v>
      </c>
      <c r="F20" s="145"/>
      <c r="G20" s="145"/>
      <c r="H20" s="148"/>
      <c r="I20" s="132">
        <f t="shared" si="0"/>
        <v>0</v>
      </c>
      <c r="J20" s="147">
        <f>IF(C20=0,0,IF(C20&gt;1,0,IF(D20&lt;=введение!C$20*25,I20/100,I20/10)))</f>
        <v>0</v>
      </c>
      <c r="K20" s="147">
        <f>IF(C20=0,0,IF(C20=1,0,IF(C20=3,I20/10,IF(C20=2,IF(D20&lt;=введение!C$20*25,I20/100,I20/10)))))</f>
        <v>0</v>
      </c>
      <c r="L20" s="92"/>
      <c r="M20" s="21">
        <f t="shared" si="1"/>
        <v>0</v>
      </c>
      <c r="N20" s="92"/>
      <c r="O20" s="21">
        <f t="shared" si="2"/>
        <v>0</v>
      </c>
      <c r="P20" s="92"/>
      <c r="Q20" s="21">
        <f t="shared" si="3"/>
        <v>0</v>
      </c>
      <c r="R20" s="21">
        <f>IF(OR(Q20&lt;=0,),0,MIN(MAX(введение!$C$11,Q20),введение!$C$14))</f>
        <v>0</v>
      </c>
      <c r="S20" s="21">
        <f>ROUND(R20*введение!C$15,0)</f>
        <v>0</v>
      </c>
      <c r="T20" s="92"/>
      <c r="U20" s="21">
        <f t="shared" si="4"/>
        <v>0</v>
      </c>
      <c r="V20" s="21">
        <f t="shared" si="5"/>
        <v>0</v>
      </c>
      <c r="W20" s="92"/>
      <c r="X20" s="128">
        <f>IF(C20=3,0,IF(D20&lt;=введение!C$20*25,I20*90/100,0))</f>
        <v>0</v>
      </c>
      <c r="Y20" s="132">
        <f t="shared" si="6"/>
        <v>0</v>
      </c>
      <c r="Z20" s="132">
        <f>IF(OR(Y20&lt;=0,),0,MIN(MIN(введение!$C$17,Y20),введение!$C$17))</f>
        <v>0</v>
      </c>
      <c r="AA20" s="132">
        <f>Z20*введение!C$18</f>
        <v>0</v>
      </c>
      <c r="AB20" s="132">
        <f>Z20*введение!C$22</f>
        <v>0</v>
      </c>
      <c r="AC20" s="132"/>
    </row>
    <row r="21" spans="1:29" x14ac:dyDescent="0.25">
      <c r="A21" s="91">
        <v>8</v>
      </c>
      <c r="B21" s="91"/>
      <c r="C21" s="91"/>
      <c r="D21" s="91"/>
      <c r="E21" s="100">
        <f>IF(C21=3,0,IF((D21-O21)&gt;введение!C$11,введение!C$11,IF((D21-O21)&lt;=введение!C$11,D21-O21,0)))</f>
        <v>0</v>
      </c>
      <c r="F21" s="145"/>
      <c r="G21" s="145"/>
      <c r="H21" s="148"/>
      <c r="I21" s="132">
        <f t="shared" si="0"/>
        <v>0</v>
      </c>
      <c r="J21" s="147">
        <f>IF(C21=0,0,IF(C21&gt;1,0,IF(D21&lt;=введение!C$20*25,I21/100,I21/10)))</f>
        <v>0</v>
      </c>
      <c r="K21" s="147">
        <f>IF(C21=0,0,IF(C21=1,0,IF(C21=3,I21/10,IF(C21=2,IF(D21&lt;=введение!C$20*25,I21/100,I21/10)))))</f>
        <v>0</v>
      </c>
      <c r="L21" s="92"/>
      <c r="M21" s="21">
        <f t="shared" si="1"/>
        <v>0</v>
      </c>
      <c r="N21" s="92"/>
      <c r="O21" s="21">
        <f t="shared" si="2"/>
        <v>0</v>
      </c>
      <c r="P21" s="92"/>
      <c r="Q21" s="21">
        <f t="shared" si="3"/>
        <v>0</v>
      </c>
      <c r="R21" s="21">
        <f>IF(OR(Q21&lt;=0,),0,MIN(MAX(введение!$C$11,Q21),введение!$C$14))</f>
        <v>0</v>
      </c>
      <c r="S21" s="21">
        <f>ROUND(R21*введение!C$15,0)</f>
        <v>0</v>
      </c>
      <c r="T21" s="92"/>
      <c r="U21" s="21">
        <f t="shared" si="4"/>
        <v>0</v>
      </c>
      <c r="V21" s="21">
        <f t="shared" si="5"/>
        <v>0</v>
      </c>
      <c r="W21" s="92"/>
      <c r="X21" s="128">
        <f>IF(C21=3,0,IF(D21&lt;=введение!C$20*25,I21*90/100,0))</f>
        <v>0</v>
      </c>
      <c r="Y21" s="132">
        <f t="shared" si="6"/>
        <v>0</v>
      </c>
      <c r="Z21" s="132">
        <f>IF(OR(Y21&lt;=0,),0,MIN(MIN(введение!$C$17,Y21),введение!$C$17))</f>
        <v>0</v>
      </c>
      <c r="AA21" s="132">
        <f>Z21*введение!C$18</f>
        <v>0</v>
      </c>
      <c r="AB21" s="132">
        <f>Z21*введение!C$22</f>
        <v>0</v>
      </c>
      <c r="AC21" s="132"/>
    </row>
    <row r="22" spans="1:29" x14ac:dyDescent="0.25">
      <c r="A22" s="91">
        <v>9</v>
      </c>
      <c r="B22" s="91"/>
      <c r="C22" s="91"/>
      <c r="D22" s="91"/>
      <c r="E22" s="100">
        <f>IF(C22=3,0,IF((D22-O22)&gt;введение!C$11,введение!C$11,IF((D22-O22)&lt;=введение!C$11,D22-O22,0)))</f>
        <v>0</v>
      </c>
      <c r="F22" s="145"/>
      <c r="G22" s="145"/>
      <c r="H22" s="148"/>
      <c r="I22" s="132">
        <f t="shared" si="0"/>
        <v>0</v>
      </c>
      <c r="J22" s="147">
        <f>IF(C22=0,0,IF(C22&gt;1,0,IF(D22&lt;=введение!C$20*25,I22/100,I22/10)))</f>
        <v>0</v>
      </c>
      <c r="K22" s="147">
        <f>IF(C22=0,0,IF(C22=1,0,IF(C22=3,I22/10,IF(C22=2,IF(D22&lt;=введение!C$20*25,I22/100,I22/10)))))</f>
        <v>0</v>
      </c>
      <c r="L22" s="92"/>
      <c r="M22" s="21">
        <f t="shared" si="1"/>
        <v>0</v>
      </c>
      <c r="N22" s="92"/>
      <c r="O22" s="21">
        <f t="shared" si="2"/>
        <v>0</v>
      </c>
      <c r="P22" s="92"/>
      <c r="Q22" s="21">
        <f t="shared" si="3"/>
        <v>0</v>
      </c>
      <c r="R22" s="21">
        <f>IF(OR(Q22&lt;=0,),0,MIN(MAX(введение!$C$11,Q22),введение!$C$14))</f>
        <v>0</v>
      </c>
      <c r="S22" s="21">
        <f>ROUND(R22*введение!C$15,0)</f>
        <v>0</v>
      </c>
      <c r="T22" s="92"/>
      <c r="U22" s="21">
        <f t="shared" si="4"/>
        <v>0</v>
      </c>
      <c r="V22" s="21">
        <f t="shared" si="5"/>
        <v>0</v>
      </c>
      <c r="W22" s="92"/>
      <c r="X22" s="128">
        <f>IF(C22=3,0,IF(D22&lt;=введение!C$20*25,I22*90/100,0))</f>
        <v>0</v>
      </c>
      <c r="Y22" s="132">
        <f t="shared" si="6"/>
        <v>0</v>
      </c>
      <c r="Z22" s="132">
        <f>IF(OR(Y22&lt;=0,),0,MIN(MIN(введение!$C$17,Y22),введение!$C$17))</f>
        <v>0</v>
      </c>
      <c r="AA22" s="132">
        <f>Z22*введение!C$18</f>
        <v>0</v>
      </c>
      <c r="AB22" s="132">
        <f>Z22*введение!C$22</f>
        <v>0</v>
      </c>
      <c r="AC22" s="132"/>
    </row>
    <row r="23" spans="1:29" x14ac:dyDescent="0.25">
      <c r="A23" s="91">
        <v>10</v>
      </c>
      <c r="B23" s="91"/>
      <c r="C23" s="91"/>
      <c r="D23" s="91"/>
      <c r="E23" s="100">
        <f>IF(C23=3,0,IF((D23-O23)&gt;введение!C$11,введение!C$11,IF((D23-O23)&lt;=введение!C$11,D23-O23,0)))</f>
        <v>0</v>
      </c>
      <c r="F23" s="145"/>
      <c r="G23" s="145"/>
      <c r="H23" s="148"/>
      <c r="I23" s="132">
        <f t="shared" si="0"/>
        <v>0</v>
      </c>
      <c r="J23" s="147">
        <f>IF(C23=0,0,IF(C23&gt;1,0,IF(D23&lt;=введение!C$20*25,I23/100,I23/10)))</f>
        <v>0</v>
      </c>
      <c r="K23" s="147">
        <f>IF(C23=0,0,IF(C23=1,0,IF(C23=3,I23/10,IF(C23=2,IF(D23&lt;=введение!C$20*25,I23/100,I23/10)))))</f>
        <v>0</v>
      </c>
      <c r="L23" s="92"/>
      <c r="M23" s="21">
        <f t="shared" si="1"/>
        <v>0</v>
      </c>
      <c r="N23" s="92"/>
      <c r="O23" s="21">
        <f t="shared" si="2"/>
        <v>0</v>
      </c>
      <c r="P23" s="92"/>
      <c r="Q23" s="21">
        <f t="shared" si="3"/>
        <v>0</v>
      </c>
      <c r="R23" s="21">
        <f>IF(OR(Q23&lt;=0,),0,MIN(MAX(введение!$C$11,Q23),введение!$C$14))</f>
        <v>0</v>
      </c>
      <c r="S23" s="21">
        <f>ROUND(R23*введение!C$15,0)</f>
        <v>0</v>
      </c>
      <c r="T23" s="92"/>
      <c r="U23" s="21">
        <f t="shared" si="4"/>
        <v>0</v>
      </c>
      <c r="V23" s="21">
        <f t="shared" si="5"/>
        <v>0</v>
      </c>
      <c r="W23" s="92"/>
      <c r="X23" s="128">
        <f>IF(C23=3,0,IF(D23&lt;=введение!C$20*25,I23*90/100,0))</f>
        <v>0</v>
      </c>
      <c r="Y23" s="132">
        <f t="shared" si="6"/>
        <v>0</v>
      </c>
      <c r="Z23" s="132">
        <f>IF(OR(Y23&lt;=0,),0,MIN(MIN(введение!$C$17,Y23),введение!$C$17))</f>
        <v>0</v>
      </c>
      <c r="AA23" s="132">
        <f>Z23*введение!C$18</f>
        <v>0</v>
      </c>
      <c r="AB23" s="132">
        <f>Z23*введение!C$22</f>
        <v>0</v>
      </c>
      <c r="AC23" s="132"/>
    </row>
    <row r="24" spans="1:29" x14ac:dyDescent="0.25">
      <c r="A24" s="91">
        <v>11</v>
      </c>
      <c r="B24" s="91"/>
      <c r="C24" s="91"/>
      <c r="D24" s="91"/>
      <c r="E24" s="100">
        <f>IF(C24=3,0,IF((D24-O24)&gt;введение!C$11,введение!C$11,IF((D24-O24)&lt;=введение!C$11,D24-O24,0)))</f>
        <v>0</v>
      </c>
      <c r="F24" s="145"/>
      <c r="G24" s="145"/>
      <c r="H24" s="148"/>
      <c r="I24" s="132">
        <f t="shared" si="0"/>
        <v>0</v>
      </c>
      <c r="J24" s="147">
        <f>IF(C24=0,0,IF(C24&gt;1,0,IF(D24&lt;=введение!C$20*25,I24/100,I24/10)))</f>
        <v>0</v>
      </c>
      <c r="K24" s="147">
        <f>IF(C24=0,0,IF(C24=1,0,IF(C24=3,I24/10,IF(C24=2,IF(D24&lt;=введение!C$20*25,I24/100,I24/10)))))</f>
        <v>0</v>
      </c>
      <c r="L24" s="92"/>
      <c r="M24" s="21">
        <f t="shared" si="1"/>
        <v>0</v>
      </c>
      <c r="N24" s="92"/>
      <c r="O24" s="21">
        <f t="shared" si="2"/>
        <v>0</v>
      </c>
      <c r="P24" s="92"/>
      <c r="Q24" s="21">
        <f t="shared" si="3"/>
        <v>0</v>
      </c>
      <c r="R24" s="21">
        <f>IF(OR(Q24&lt;=0,),0,MIN(MAX(введение!$C$11,Q24),введение!$C$14))</f>
        <v>0</v>
      </c>
      <c r="S24" s="21">
        <f>ROUND(R24*введение!C$15,0)</f>
        <v>0</v>
      </c>
      <c r="T24" s="92"/>
      <c r="U24" s="21">
        <f t="shared" si="4"/>
        <v>0</v>
      </c>
      <c r="V24" s="21">
        <f t="shared" si="5"/>
        <v>0</v>
      </c>
      <c r="W24" s="92"/>
      <c r="X24" s="128">
        <f>IF(C24=3,0,IF(D24&lt;=введение!C$20*25,I24*90/100,0))</f>
        <v>0</v>
      </c>
      <c r="Y24" s="132">
        <f t="shared" si="6"/>
        <v>0</v>
      </c>
      <c r="Z24" s="132">
        <f>IF(OR(Y24&lt;=0,),0,MIN(MIN(введение!$C$17,Y24),введение!$C$17))</f>
        <v>0</v>
      </c>
      <c r="AA24" s="132">
        <f>Z24*введение!C$18</f>
        <v>0</v>
      </c>
      <c r="AB24" s="132">
        <f>Z24*введение!C$22</f>
        <v>0</v>
      </c>
      <c r="AC24" s="132"/>
    </row>
    <row r="25" spans="1:29" x14ac:dyDescent="0.25">
      <c r="A25" s="91">
        <v>12</v>
      </c>
      <c r="B25" s="91"/>
      <c r="C25" s="91"/>
      <c r="D25" s="91"/>
      <c r="E25" s="100">
        <f>IF(C25=3,0,IF((D25-O25)&gt;введение!C$11,введение!C$11,IF((D25-O25)&lt;=введение!C$11,D25-O25,0)))</f>
        <v>0</v>
      </c>
      <c r="F25" s="145"/>
      <c r="G25" s="145"/>
      <c r="H25" s="148"/>
      <c r="I25" s="132">
        <f t="shared" si="0"/>
        <v>0</v>
      </c>
      <c r="J25" s="147">
        <f>IF(C25=0,0,IF(C25&gt;1,0,IF(D25&lt;=введение!C$20*25,I25/100,I25/10)))</f>
        <v>0</v>
      </c>
      <c r="K25" s="147">
        <f>IF(C25=0,0,IF(C25=1,0,IF(C25=3,I25/10,IF(C25=2,IF(D25&lt;=введение!C$20*25,I25/100,I25/10)))))</f>
        <v>0</v>
      </c>
      <c r="L25" s="92"/>
      <c r="M25" s="21">
        <f t="shared" si="1"/>
        <v>0</v>
      </c>
      <c r="N25" s="92"/>
      <c r="O25" s="21">
        <f t="shared" si="2"/>
        <v>0</v>
      </c>
      <c r="P25" s="92"/>
      <c r="Q25" s="21">
        <f t="shared" si="3"/>
        <v>0</v>
      </c>
      <c r="R25" s="21">
        <f>IF(OR(Q25&lt;=0,),0,MIN(MAX(введение!$C$11,Q25),введение!$C$14))</f>
        <v>0</v>
      </c>
      <c r="S25" s="21">
        <f>ROUND(R25*введение!C$15,0)</f>
        <v>0</v>
      </c>
      <c r="T25" s="92"/>
      <c r="U25" s="21">
        <f t="shared" si="4"/>
        <v>0</v>
      </c>
      <c r="V25" s="21">
        <f t="shared" si="5"/>
        <v>0</v>
      </c>
      <c r="W25" s="92"/>
      <c r="X25" s="128">
        <f>IF(C25=3,0,IF(D25&lt;=введение!C$20*25,I25*90/100,0))</f>
        <v>0</v>
      </c>
      <c r="Y25" s="132">
        <f t="shared" si="6"/>
        <v>0</v>
      </c>
      <c r="Z25" s="132">
        <f>IF(OR(Y25&lt;=0,),0,MIN(MIN(введение!$C$17,Y25),введение!$C$17))</f>
        <v>0</v>
      </c>
      <c r="AA25" s="132">
        <f>Z25*введение!C$18</f>
        <v>0</v>
      </c>
      <c r="AB25" s="132">
        <f>Z25*введение!C$22</f>
        <v>0</v>
      </c>
      <c r="AC25" s="132"/>
    </row>
    <row r="26" spans="1:29" x14ac:dyDescent="0.25">
      <c r="A26" s="316" t="s">
        <v>73</v>
      </c>
      <c r="B26" s="317"/>
      <c r="C26" s="87"/>
      <c r="D26" s="22">
        <f>SUM(D14:D25)</f>
        <v>0</v>
      </c>
      <c r="E26" s="22">
        <f t="shared" ref="E26:U26" si="7">SUM(E14:E25)</f>
        <v>0</v>
      </c>
      <c r="F26" s="133">
        <f t="shared" si="7"/>
        <v>0</v>
      </c>
      <c r="G26" s="133">
        <f t="shared" si="7"/>
        <v>0</v>
      </c>
      <c r="H26" s="133">
        <f t="shared" si="7"/>
        <v>0</v>
      </c>
      <c r="I26" s="133">
        <f t="shared" si="7"/>
        <v>0</v>
      </c>
      <c r="J26" s="133">
        <f t="shared" si="7"/>
        <v>0</v>
      </c>
      <c r="K26" s="133">
        <f t="shared" si="7"/>
        <v>0</v>
      </c>
      <c r="L26" s="22">
        <f t="shared" si="7"/>
        <v>0</v>
      </c>
      <c r="M26" s="22">
        <f t="shared" si="7"/>
        <v>0</v>
      </c>
      <c r="N26" s="22">
        <f>SUM(N14:N25)</f>
        <v>0</v>
      </c>
      <c r="O26" s="22">
        <f>SUM(O14:O25)</f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>SUM(S14:S25)</f>
        <v>0</v>
      </c>
      <c r="T26" s="22">
        <f t="shared" si="7"/>
        <v>0</v>
      </c>
      <c r="U26" s="22">
        <f t="shared" si="7"/>
        <v>0</v>
      </c>
      <c r="V26" s="22">
        <f t="shared" ref="V26:AB26" si="8">SUM(V14:V25)</f>
        <v>0</v>
      </c>
      <c r="W26" s="22">
        <f t="shared" si="8"/>
        <v>0</v>
      </c>
      <c r="X26" s="133">
        <f t="shared" si="8"/>
        <v>0</v>
      </c>
      <c r="Y26" s="133">
        <f t="shared" si="8"/>
        <v>0</v>
      </c>
      <c r="Z26" s="133">
        <f t="shared" si="8"/>
        <v>0</v>
      </c>
      <c r="AA26" s="133">
        <f t="shared" si="8"/>
        <v>0</v>
      </c>
      <c r="AB26" s="133">
        <f t="shared" si="8"/>
        <v>0</v>
      </c>
      <c r="AC26" s="134">
        <f>IF(D26&gt;0,D26/V26,0)</f>
        <v>0</v>
      </c>
    </row>
    <row r="27" spans="1:29" x14ac:dyDescent="0.25">
      <c r="A27" s="42"/>
      <c r="B27" s="42"/>
      <c r="C27" s="43"/>
      <c r="D27" s="43"/>
    </row>
    <row r="28" spans="1:29" x14ac:dyDescent="0.25">
      <c r="A28" s="44" t="s">
        <v>62</v>
      </c>
      <c r="B28" s="37"/>
      <c r="C28"/>
      <c r="D28"/>
    </row>
    <row r="29" spans="1:29" x14ac:dyDescent="0.25">
      <c r="A29" s="37"/>
      <c r="B29" s="37"/>
      <c r="C29"/>
      <c r="D29"/>
    </row>
    <row r="30" spans="1:29" x14ac:dyDescent="0.25">
      <c r="A30" s="42"/>
      <c r="B30" s="42"/>
      <c r="C30" s="43"/>
      <c r="D30" s="43"/>
    </row>
    <row r="31" spans="1:29" x14ac:dyDescent="0.25">
      <c r="A31" s="44" t="s">
        <v>63</v>
      </c>
      <c r="B31" s="37"/>
      <c r="C31"/>
      <c r="D31"/>
    </row>
    <row r="32" spans="1:29" x14ac:dyDescent="0.25">
      <c r="A32" s="37"/>
      <c r="B32" s="37"/>
      <c r="C32"/>
      <c r="D32"/>
    </row>
    <row r="33" spans="1:4" x14ac:dyDescent="0.25">
      <c r="A33" s="42"/>
      <c r="B33" s="42"/>
      <c r="C33" s="43"/>
      <c r="D33" s="43"/>
    </row>
    <row r="34" spans="1:4" x14ac:dyDescent="0.25">
      <c r="A34" s="44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2"/>
      <c r="B36" s="42"/>
      <c r="C36" s="43"/>
      <c r="D36"/>
    </row>
    <row r="37" spans="1:4" x14ac:dyDescent="0.25">
      <c r="A37" s="44" t="s">
        <v>64</v>
      </c>
      <c r="B37" s="37"/>
      <c r="C37"/>
      <c r="D37"/>
    </row>
    <row r="38" spans="1:4" x14ac:dyDescent="0.25">
      <c r="A38" s="49"/>
      <c r="B38" s="49"/>
      <c r="C38" s="49"/>
      <c r="D38" s="49"/>
    </row>
  </sheetData>
  <mergeCells count="2">
    <mergeCell ref="A11:H11"/>
    <mergeCell ref="A26:B2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AC38"/>
  <sheetViews>
    <sheetView topLeftCell="A13" workbookViewId="0">
      <selection activeCell="G23" sqref="G23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8" width="8.7109375" style="17"/>
    <col min="9" max="9" width="11" style="17" customWidth="1"/>
    <col min="10" max="10" width="9.5703125" style="17" customWidth="1"/>
    <col min="11" max="11" width="10" style="17" customWidth="1"/>
    <col min="12" max="12" width="12.5703125" style="17" customWidth="1"/>
    <col min="13" max="13" width="8.7109375" style="17"/>
    <col min="14" max="14" width="10.42578125" style="17" customWidth="1"/>
    <col min="15" max="15" width="13.7109375" style="17" customWidth="1"/>
    <col min="16" max="16" width="15.42578125" style="17" customWidth="1"/>
    <col min="17" max="17" width="16" style="17" customWidth="1"/>
    <col min="18" max="18" width="19.7109375" style="17" customWidth="1"/>
    <col min="19" max="19" width="13" style="17" customWidth="1"/>
    <col min="20" max="23" width="8.7109375" style="17"/>
    <col min="24" max="24" width="15" style="5" bestFit="1" customWidth="1"/>
    <col min="25" max="26" width="14.5703125" style="17" bestFit="1" customWidth="1"/>
    <col min="27" max="27" width="11.85546875" style="17" bestFit="1" customWidth="1"/>
    <col min="28" max="28" width="11.85546875" style="17" customWidth="1"/>
    <col min="29" max="29" width="13.28515625" style="17" bestFit="1" customWidth="1"/>
    <col min="30" max="16384" width="8.7109375" style="17"/>
  </cols>
  <sheetData>
    <row r="2" spans="1:29" x14ac:dyDescent="0.25">
      <c r="K2" s="19"/>
      <c r="S2" s="18" t="s">
        <v>14</v>
      </c>
    </row>
    <row r="3" spans="1:29" x14ac:dyDescent="0.25">
      <c r="A3" s="20"/>
      <c r="B3" s="20"/>
      <c r="C3" s="20"/>
      <c r="D3" s="20"/>
    </row>
    <row r="4" spans="1:29" x14ac:dyDescent="0.25">
      <c r="A4" s="20"/>
      <c r="B4" s="20"/>
      <c r="C4" s="20"/>
      <c r="D4" s="20"/>
    </row>
    <row r="5" spans="1:29" x14ac:dyDescent="0.25">
      <c r="A5" s="56" t="s">
        <v>67</v>
      </c>
      <c r="B5" s="43"/>
      <c r="C5" s="56"/>
      <c r="D5" s="56"/>
    </row>
    <row r="6" spans="1:29" x14ac:dyDescent="0.25">
      <c r="A6" s="36"/>
      <c r="B6" s="36"/>
      <c r="C6" s="36"/>
      <c r="D6" s="36"/>
    </row>
    <row r="7" spans="1:29" x14ac:dyDescent="0.25">
      <c r="A7" s="36">
        <v>1</v>
      </c>
      <c r="B7" s="56" t="s">
        <v>68</v>
      </c>
      <c r="C7" s="56"/>
      <c r="D7" s="56"/>
    </row>
    <row r="8" spans="1:29" x14ac:dyDescent="0.25">
      <c r="A8" s="36">
        <v>2</v>
      </c>
      <c r="B8" s="57" t="s">
        <v>15</v>
      </c>
      <c r="C8" s="57"/>
      <c r="D8" s="74">
        <f>'№ 910 Декларация '!D8</f>
        <v>461040002572</v>
      </c>
    </row>
    <row r="9" spans="1:29" x14ac:dyDescent="0.25">
      <c r="A9" s="36">
        <v>3</v>
      </c>
      <c r="B9" s="56" t="s">
        <v>93</v>
      </c>
      <c r="C9" s="56"/>
      <c r="D9" s="56" t="str">
        <f>IF('№ 910 Декларация '!L12=1,"апрель","октябрь")</f>
        <v>апрель</v>
      </c>
      <c r="E9" s="17">
        <f>'№ 910 Декларация '!O12</f>
        <v>2020</v>
      </c>
    </row>
    <row r="10" spans="1:29" x14ac:dyDescent="0.25">
      <c r="A10" s="49"/>
      <c r="B10" s="49"/>
      <c r="C10" s="49"/>
      <c r="D10" s="49"/>
      <c r="E10" s="49"/>
      <c r="F10" s="49"/>
      <c r="G10" s="49"/>
    </row>
    <row r="11" spans="1:29" ht="43.5" customHeight="1" x14ac:dyDescent="0.25">
      <c r="A11" s="315" t="s">
        <v>174</v>
      </c>
      <c r="B11" s="315"/>
      <c r="C11" s="315"/>
      <c r="D11" s="315"/>
      <c r="E11" s="315"/>
      <c r="F11" s="315"/>
      <c r="G11" s="315"/>
      <c r="H11" s="315"/>
    </row>
    <row r="12" spans="1:29" x14ac:dyDescent="0.25">
      <c r="A12" s="49"/>
      <c r="B12" s="49"/>
      <c r="C12" s="49"/>
      <c r="D12" s="49"/>
      <c r="E12" s="49"/>
      <c r="F12" s="49"/>
      <c r="G12" s="49"/>
    </row>
    <row r="13" spans="1:29" ht="153" x14ac:dyDescent="0.25">
      <c r="A13" s="58" t="s">
        <v>69</v>
      </c>
      <c r="B13" s="58" t="s">
        <v>70</v>
      </c>
      <c r="C13" s="39" t="s">
        <v>133</v>
      </c>
      <c r="D13" s="58" t="s">
        <v>71</v>
      </c>
      <c r="E13" s="58" t="s">
        <v>72</v>
      </c>
      <c r="F13" s="39" t="s">
        <v>210</v>
      </c>
      <c r="G13" s="39" t="s">
        <v>209</v>
      </c>
      <c r="H13" s="58" t="s">
        <v>76</v>
      </c>
      <c r="I13" s="58" t="s">
        <v>77</v>
      </c>
      <c r="J13" s="39" t="s">
        <v>134</v>
      </c>
      <c r="K13" s="39" t="s">
        <v>135</v>
      </c>
      <c r="L13" s="58" t="s">
        <v>78</v>
      </c>
      <c r="M13" s="58" t="s">
        <v>79</v>
      </c>
      <c r="N13" s="58" t="s">
        <v>104</v>
      </c>
      <c r="O13" s="58" t="s">
        <v>80</v>
      </c>
      <c r="P13" s="58" t="s">
        <v>81</v>
      </c>
      <c r="Q13" s="58" t="s">
        <v>82</v>
      </c>
      <c r="R13" s="58" t="s">
        <v>83</v>
      </c>
      <c r="S13" s="58" t="s">
        <v>84</v>
      </c>
      <c r="T13" s="58" t="s">
        <v>94</v>
      </c>
      <c r="U13" s="58" t="s">
        <v>95</v>
      </c>
      <c r="V13" s="58" t="s">
        <v>96</v>
      </c>
      <c r="W13" s="39" t="s">
        <v>121</v>
      </c>
      <c r="X13" s="39" t="s">
        <v>188</v>
      </c>
      <c r="Y13" s="39" t="s">
        <v>187</v>
      </c>
      <c r="Z13" s="39" t="s">
        <v>122</v>
      </c>
      <c r="AA13" s="39" t="s">
        <v>124</v>
      </c>
      <c r="AB13" s="39" t="s">
        <v>206</v>
      </c>
      <c r="AC13" s="39" t="s">
        <v>129</v>
      </c>
    </row>
    <row r="14" spans="1:29" x14ac:dyDescent="0.25">
      <c r="A14" s="91">
        <v>1</v>
      </c>
      <c r="B14" s="91"/>
      <c r="C14" s="91"/>
      <c r="D14" s="145"/>
      <c r="E14" s="100">
        <f>IF(C14=3,0,IF((D14-O14)&gt;введение!C$11,введение!C$11,IF((D14-O14)&lt;=введение!C$11,D14-O14,0)))</f>
        <v>0</v>
      </c>
      <c r="F14" s="145"/>
      <c r="G14" s="145"/>
      <c r="H14" s="148"/>
      <c r="I14" s="132">
        <f>IF(C14=3,D14-H14,D14-H14-E14-O14-F14-G14)</f>
        <v>0</v>
      </c>
      <c r="J14" s="147">
        <f>IF(C14=0,0,IF(C14&gt;1,0,IF(D14&lt;=введение!C$20*25,I14/100,I14/10)))</f>
        <v>0</v>
      </c>
      <c r="K14" s="147">
        <f>IF(C14=0,0,IF(C14=1,0,IF(C14=3,I14/10,IF(C14=2,IF(D14&lt;=введение!C$20*25,I14/100,I14/10)))))</f>
        <v>0</v>
      </c>
      <c r="L14" s="92"/>
      <c r="M14" s="21">
        <f>IF(C14=3,0,IF(N14=1,0,D14-L14))</f>
        <v>0</v>
      </c>
      <c r="N14" s="92"/>
      <c r="O14" s="21">
        <f>M14*10%</f>
        <v>0</v>
      </c>
      <c r="P14" s="92"/>
      <c r="Q14" s="21">
        <f>IF(C14=3,0,IF(N14=1,0,D14-O14-P14))</f>
        <v>0</v>
      </c>
      <c r="R14" s="21">
        <f>IF(OR(Q14&lt;=0,),0,MIN(MAX(введение!$C$11,Q14),введение!$C$14))</f>
        <v>0</v>
      </c>
      <c r="S14" s="21">
        <f>ROUND(R14*введение!C$15,0)</f>
        <v>0</v>
      </c>
      <c r="T14" s="92"/>
      <c r="U14" s="21">
        <f>ROUND(T14*0.05,0)</f>
        <v>0</v>
      </c>
      <c r="V14" s="21">
        <f>IF(D14=0,0,1)</f>
        <v>0</v>
      </c>
      <c r="W14" s="92"/>
      <c r="X14" s="128">
        <f>IF(C14=3,0,IF(D14&lt;=введение!C$20*25,I14*90/100,0))</f>
        <v>0</v>
      </c>
      <c r="Y14" s="132">
        <f>IF(C14=3,0,IF(N14=1,0,D14-W14-X14))</f>
        <v>0</v>
      </c>
      <c r="Z14" s="132">
        <f>IF(OR(Y14&lt;=0,),0,MIN(MIN(введение!$C$17,Y14),введение!$C$17))</f>
        <v>0</v>
      </c>
      <c r="AA14" s="132">
        <f>Z14*введение!C$18</f>
        <v>0</v>
      </c>
      <c r="AB14" s="132">
        <f>Z14*введение!C$22</f>
        <v>0</v>
      </c>
      <c r="AC14" s="132"/>
    </row>
    <row r="15" spans="1:29" x14ac:dyDescent="0.25">
      <c r="A15" s="91">
        <v>2</v>
      </c>
      <c r="B15" s="91"/>
      <c r="C15" s="91"/>
      <c r="D15" s="145"/>
      <c r="E15" s="100">
        <f>IF(C15=3,0,IF((D15-O15)&gt;введение!C$11,введение!C$11,IF((D15-O15)&lt;=введение!C$11,D15-O15,0)))</f>
        <v>0</v>
      </c>
      <c r="F15" s="145"/>
      <c r="G15" s="145"/>
      <c r="H15" s="148"/>
      <c r="I15" s="132">
        <f t="shared" ref="I15:I25" si="0">IF(C15=3,D15-H15,D15-H15-E15-O15-F15-G15)</f>
        <v>0</v>
      </c>
      <c r="J15" s="147">
        <f>IF(C15=0,0,IF(C15&gt;1,0,IF(D15&lt;=введение!C$20*25,I15/100,I15/10)))</f>
        <v>0</v>
      </c>
      <c r="K15" s="147">
        <f>IF(C15=0,0,IF(C15=1,0,IF(C15=3,I15/10,IF(C15=2,IF(D15&lt;=введение!C$20*25,I15/100,I15/10)))))</f>
        <v>0</v>
      </c>
      <c r="L15" s="92"/>
      <c r="M15" s="21">
        <f t="shared" ref="M15:M25" si="1">IF(C15=3,0,IF(N15=1,0,D15-L15))</f>
        <v>0</v>
      </c>
      <c r="N15" s="92"/>
      <c r="O15" s="21">
        <f t="shared" ref="O15:O25" si="2">M15*10%</f>
        <v>0</v>
      </c>
      <c r="P15" s="92"/>
      <c r="Q15" s="21">
        <f t="shared" ref="Q15:Q25" si="3">IF(C15=3,0,IF(N15=1,0,D15-O15-P15))</f>
        <v>0</v>
      </c>
      <c r="R15" s="21">
        <f>IF(OR(Q15&lt;=0,),0,MIN(MAX(введение!$C$11,Q15),введение!$C$14))</f>
        <v>0</v>
      </c>
      <c r="S15" s="21">
        <f>ROUND(R15*введение!C$15,0)</f>
        <v>0</v>
      </c>
      <c r="T15" s="92"/>
      <c r="U15" s="21">
        <f t="shared" ref="U15:U25" si="4">ROUND(T15*0.05,0)</f>
        <v>0</v>
      </c>
      <c r="V15" s="21">
        <f t="shared" ref="V15:V25" si="5">IF(D15=0,0,1)</f>
        <v>0</v>
      </c>
      <c r="W15" s="92"/>
      <c r="X15" s="128">
        <f>IF(C15=3,0,IF(D15&lt;=введение!C$20*25,I15*90/100,0))</f>
        <v>0</v>
      </c>
      <c r="Y15" s="132">
        <f t="shared" ref="Y15:Y25" si="6">IF(C15=3,0,IF(N15=1,0,D15-W15-X15))</f>
        <v>0</v>
      </c>
      <c r="Z15" s="132">
        <f>IF(OR(Y15&lt;=0,),0,MIN(MIN(введение!$C$17,Y15),введение!$C$17))</f>
        <v>0</v>
      </c>
      <c r="AA15" s="132">
        <f>Z15*введение!C$18</f>
        <v>0</v>
      </c>
      <c r="AB15" s="132">
        <f>Z15*введение!C$22</f>
        <v>0</v>
      </c>
      <c r="AC15" s="132"/>
    </row>
    <row r="16" spans="1:29" x14ac:dyDescent="0.25">
      <c r="A16" s="91">
        <v>3</v>
      </c>
      <c r="B16" s="91"/>
      <c r="C16" s="91"/>
      <c r="D16" s="145"/>
      <c r="E16" s="100">
        <f>IF(C16=3,0,IF((D16-O16)&gt;введение!C$11,введение!C$11,IF((D16-O16)&lt;=введение!C$11,D16-O16,0)))</f>
        <v>0</v>
      </c>
      <c r="F16" s="145"/>
      <c r="G16" s="145"/>
      <c r="H16" s="148"/>
      <c r="I16" s="132">
        <f t="shared" si="0"/>
        <v>0</v>
      </c>
      <c r="J16" s="147">
        <f>IF(C16=0,0,IF(C16&gt;1,0,IF(D16&lt;=введение!C$20*25,I16/100,I16/10)))</f>
        <v>0</v>
      </c>
      <c r="K16" s="147">
        <f>IF(C16=0,0,IF(C16=1,0,IF(C16=3,I16/10,IF(C16=2,IF(D16&lt;=введение!C$20*25,I16/100,I16/10)))))</f>
        <v>0</v>
      </c>
      <c r="L16" s="92"/>
      <c r="M16" s="21">
        <f t="shared" si="1"/>
        <v>0</v>
      </c>
      <c r="N16" s="92"/>
      <c r="O16" s="21">
        <f t="shared" si="2"/>
        <v>0</v>
      </c>
      <c r="P16" s="92"/>
      <c r="Q16" s="21">
        <f t="shared" si="3"/>
        <v>0</v>
      </c>
      <c r="R16" s="21">
        <f>IF(OR(Q16&lt;=0,),0,MIN(MAX(введение!$C$11,Q16),введение!$C$14))</f>
        <v>0</v>
      </c>
      <c r="S16" s="21">
        <f>ROUND(R16*введение!C$15,0)</f>
        <v>0</v>
      </c>
      <c r="T16" s="92"/>
      <c r="U16" s="21">
        <f t="shared" si="4"/>
        <v>0</v>
      </c>
      <c r="V16" s="21">
        <f t="shared" si="5"/>
        <v>0</v>
      </c>
      <c r="W16" s="92"/>
      <c r="X16" s="128">
        <f>IF(C16=3,0,IF(D16&lt;=введение!C$20*25,I16*90/100,0))</f>
        <v>0</v>
      </c>
      <c r="Y16" s="132">
        <f t="shared" si="6"/>
        <v>0</v>
      </c>
      <c r="Z16" s="132">
        <f>IF(OR(Y16&lt;=0,),0,MIN(MIN(введение!$C$17,Y16),введение!$C$17))</f>
        <v>0</v>
      </c>
      <c r="AA16" s="132">
        <f>Z16*введение!C$18</f>
        <v>0</v>
      </c>
      <c r="AB16" s="132">
        <f>Z16*введение!C$22</f>
        <v>0</v>
      </c>
      <c r="AC16" s="132"/>
    </row>
    <row r="17" spans="1:29" x14ac:dyDescent="0.25">
      <c r="A17" s="91">
        <v>4</v>
      </c>
      <c r="B17" s="91"/>
      <c r="C17" s="91"/>
      <c r="D17" s="145"/>
      <c r="E17" s="100">
        <f>IF(C17=3,0,IF((D17-O17)&gt;введение!C$11,введение!C$11,IF((D17-O17)&lt;=введение!C$11,D17-O17,0)))</f>
        <v>0</v>
      </c>
      <c r="F17" s="145"/>
      <c r="G17" s="145"/>
      <c r="H17" s="148"/>
      <c r="I17" s="132">
        <f t="shared" si="0"/>
        <v>0</v>
      </c>
      <c r="J17" s="147">
        <f>IF(C17=0,0,IF(C17&gt;1,0,IF(D17&lt;=введение!C$20*25,I17/100,I17/10)))</f>
        <v>0</v>
      </c>
      <c r="K17" s="147">
        <f>IF(C17=0,0,IF(C17=1,0,IF(C17=3,I17/10,IF(C17=2,IF(D17&lt;=введение!C$20*25,I17/100,I17/10)))))</f>
        <v>0</v>
      </c>
      <c r="L17" s="92"/>
      <c r="M17" s="21">
        <f t="shared" si="1"/>
        <v>0</v>
      </c>
      <c r="N17" s="92"/>
      <c r="O17" s="21">
        <f t="shared" si="2"/>
        <v>0</v>
      </c>
      <c r="P17" s="92"/>
      <c r="Q17" s="21">
        <f t="shared" si="3"/>
        <v>0</v>
      </c>
      <c r="R17" s="21">
        <f>IF(OR(Q17&lt;=0,),0,MIN(MAX(введение!$C$11,Q17),введение!$C$14))</f>
        <v>0</v>
      </c>
      <c r="S17" s="21">
        <f>ROUND(R17*введение!C$15,0)</f>
        <v>0</v>
      </c>
      <c r="T17" s="92"/>
      <c r="U17" s="21">
        <f t="shared" si="4"/>
        <v>0</v>
      </c>
      <c r="V17" s="21">
        <f t="shared" si="5"/>
        <v>0</v>
      </c>
      <c r="W17" s="92"/>
      <c r="X17" s="128">
        <f>IF(C17=3,0,IF(D17&lt;=введение!C$20*25,I17*90/100,0))</f>
        <v>0</v>
      </c>
      <c r="Y17" s="132">
        <f t="shared" si="6"/>
        <v>0</v>
      </c>
      <c r="Z17" s="132">
        <f>IF(OR(Y17&lt;=0,),0,MIN(MIN(введение!$C$17,Y17),введение!$C$17))</f>
        <v>0</v>
      </c>
      <c r="AA17" s="132">
        <f>Z17*введение!C$18</f>
        <v>0</v>
      </c>
      <c r="AB17" s="132">
        <f>Z17*введение!C$22</f>
        <v>0</v>
      </c>
      <c r="AC17" s="132"/>
    </row>
    <row r="18" spans="1:29" x14ac:dyDescent="0.25">
      <c r="A18" s="91">
        <v>5</v>
      </c>
      <c r="B18" s="91"/>
      <c r="C18" s="91"/>
      <c r="D18" s="91"/>
      <c r="E18" s="100">
        <f>IF(C18=3,0,IF((D18-O18)&gt;введение!C$11,введение!C$11,IF((D18-O18)&lt;=введение!C$11,D18-O18,0)))</f>
        <v>0</v>
      </c>
      <c r="F18" s="145"/>
      <c r="G18" s="145"/>
      <c r="H18" s="148"/>
      <c r="I18" s="132">
        <f t="shared" si="0"/>
        <v>0</v>
      </c>
      <c r="J18" s="147">
        <f>IF(C18=0,0,IF(C18&gt;1,0,IF(D18&lt;=введение!C$20*25,I18/100,I18/10)))</f>
        <v>0</v>
      </c>
      <c r="K18" s="147">
        <f>IF(C18=0,0,IF(C18=1,0,IF(C18=3,I18/10,IF(C18=2,IF(D18&lt;=введение!C$20*25,I18/100,I18/10)))))</f>
        <v>0</v>
      </c>
      <c r="L18" s="92"/>
      <c r="M18" s="21">
        <f t="shared" si="1"/>
        <v>0</v>
      </c>
      <c r="N18" s="92"/>
      <c r="O18" s="21">
        <f t="shared" si="2"/>
        <v>0</v>
      </c>
      <c r="P18" s="92"/>
      <c r="Q18" s="21">
        <f t="shared" si="3"/>
        <v>0</v>
      </c>
      <c r="R18" s="21">
        <f>IF(OR(Q18&lt;=0,),0,MIN(MAX(введение!$C$11,Q18),введение!$C$14))</f>
        <v>0</v>
      </c>
      <c r="S18" s="21">
        <f>ROUND(R18*введение!C$15,0)</f>
        <v>0</v>
      </c>
      <c r="T18" s="92"/>
      <c r="U18" s="21">
        <f t="shared" si="4"/>
        <v>0</v>
      </c>
      <c r="V18" s="21">
        <f t="shared" si="5"/>
        <v>0</v>
      </c>
      <c r="W18" s="92"/>
      <c r="X18" s="128">
        <f>IF(C18=3,0,IF(D18&lt;=введение!C$20*25,I18*90/100,0))</f>
        <v>0</v>
      </c>
      <c r="Y18" s="132">
        <f t="shared" si="6"/>
        <v>0</v>
      </c>
      <c r="Z18" s="132">
        <f>IF(OR(Y18&lt;=0,),0,MIN(MIN(введение!$C$17,Y18),введение!$C$17))</f>
        <v>0</v>
      </c>
      <c r="AA18" s="132">
        <f>Z18*введение!C$18</f>
        <v>0</v>
      </c>
      <c r="AB18" s="132">
        <f>Z18*введение!C$22</f>
        <v>0</v>
      </c>
      <c r="AC18" s="132"/>
    </row>
    <row r="19" spans="1:29" x14ac:dyDescent="0.25">
      <c r="A19" s="91">
        <v>6</v>
      </c>
      <c r="B19" s="91"/>
      <c r="C19" s="91"/>
      <c r="D19" s="91"/>
      <c r="E19" s="100">
        <f>IF(C19=3,0,IF((D19-O19)&gt;введение!C$11,введение!C$11,IF((D19-O19)&lt;=введение!C$11,D19-O19,0)))</f>
        <v>0</v>
      </c>
      <c r="F19" s="145"/>
      <c r="G19" s="145"/>
      <c r="H19" s="148"/>
      <c r="I19" s="132">
        <f t="shared" si="0"/>
        <v>0</v>
      </c>
      <c r="J19" s="147">
        <f>IF(C19=0,0,IF(C19&gt;1,0,IF(D19&lt;=введение!C$20*25,I19/100,I19/10)))</f>
        <v>0</v>
      </c>
      <c r="K19" s="147">
        <f>IF(C19=0,0,IF(C19=1,0,IF(C19=3,I19/10,IF(C19=2,IF(D19&lt;=введение!C$20*25,I19/100,I19/10)))))</f>
        <v>0</v>
      </c>
      <c r="L19" s="92"/>
      <c r="M19" s="21">
        <f t="shared" si="1"/>
        <v>0</v>
      </c>
      <c r="N19" s="92"/>
      <c r="O19" s="21">
        <f t="shared" si="2"/>
        <v>0</v>
      </c>
      <c r="P19" s="92"/>
      <c r="Q19" s="21">
        <f t="shared" si="3"/>
        <v>0</v>
      </c>
      <c r="R19" s="21">
        <f>IF(OR(Q19&lt;=0,),0,MIN(MAX(введение!$C$11,Q19),введение!$C$14))</f>
        <v>0</v>
      </c>
      <c r="S19" s="21">
        <f>ROUND(R19*введение!C$15,0)</f>
        <v>0</v>
      </c>
      <c r="T19" s="92"/>
      <c r="U19" s="21">
        <f t="shared" si="4"/>
        <v>0</v>
      </c>
      <c r="V19" s="21">
        <f t="shared" si="5"/>
        <v>0</v>
      </c>
      <c r="W19" s="92"/>
      <c r="X19" s="128">
        <f>IF(C19=3,0,IF(D19&lt;=введение!C$20*25,I19*90/100,0))</f>
        <v>0</v>
      </c>
      <c r="Y19" s="132">
        <f t="shared" si="6"/>
        <v>0</v>
      </c>
      <c r="Z19" s="132">
        <f>IF(OR(Y19&lt;=0,),0,MIN(MIN(введение!$C$17,Y19),введение!$C$17))</f>
        <v>0</v>
      </c>
      <c r="AA19" s="132">
        <f>Z19*введение!C$18</f>
        <v>0</v>
      </c>
      <c r="AB19" s="132">
        <f>Z19*введение!C$22</f>
        <v>0</v>
      </c>
      <c r="AC19" s="132"/>
    </row>
    <row r="20" spans="1:29" x14ac:dyDescent="0.25">
      <c r="A20" s="91">
        <v>7</v>
      </c>
      <c r="B20" s="91"/>
      <c r="C20" s="91"/>
      <c r="D20" s="91"/>
      <c r="E20" s="100">
        <f>IF(C20=3,0,IF((D20-O20)&gt;введение!C$11,введение!C$11,IF((D20-O20)&lt;=введение!C$11,D20-O20,0)))</f>
        <v>0</v>
      </c>
      <c r="F20" s="145"/>
      <c r="G20" s="145"/>
      <c r="H20" s="148"/>
      <c r="I20" s="132">
        <f t="shared" si="0"/>
        <v>0</v>
      </c>
      <c r="J20" s="147">
        <f>IF(C20=0,0,IF(C20&gt;1,0,IF(D20&lt;=введение!C$20*25,I20/100,I20/10)))</f>
        <v>0</v>
      </c>
      <c r="K20" s="147">
        <f>IF(C20=0,0,IF(C20=1,0,IF(C20=3,I20/10,IF(C20=2,IF(D20&lt;=введение!C$20*25,I20/100,I20/10)))))</f>
        <v>0</v>
      </c>
      <c r="L20" s="92"/>
      <c r="M20" s="21">
        <f t="shared" si="1"/>
        <v>0</v>
      </c>
      <c r="N20" s="92"/>
      <c r="O20" s="21">
        <f t="shared" si="2"/>
        <v>0</v>
      </c>
      <c r="P20" s="92"/>
      <c r="Q20" s="21">
        <f t="shared" si="3"/>
        <v>0</v>
      </c>
      <c r="R20" s="21">
        <f>IF(OR(Q20&lt;=0,),0,MIN(MAX(введение!$C$11,Q20),введение!$C$14))</f>
        <v>0</v>
      </c>
      <c r="S20" s="21">
        <f>ROUND(R20*введение!C$15,0)</f>
        <v>0</v>
      </c>
      <c r="T20" s="92"/>
      <c r="U20" s="21">
        <f t="shared" si="4"/>
        <v>0</v>
      </c>
      <c r="V20" s="21">
        <f t="shared" si="5"/>
        <v>0</v>
      </c>
      <c r="W20" s="92"/>
      <c r="X20" s="128">
        <f>IF(C20=3,0,IF(D20&lt;=введение!C$20*25,I20*90/100,0))</f>
        <v>0</v>
      </c>
      <c r="Y20" s="132">
        <f t="shared" si="6"/>
        <v>0</v>
      </c>
      <c r="Z20" s="132">
        <f>IF(OR(Y20&lt;=0,),0,MIN(MIN(введение!$C$17,Y20),введение!$C$17))</f>
        <v>0</v>
      </c>
      <c r="AA20" s="132">
        <f>Z20*введение!C$18</f>
        <v>0</v>
      </c>
      <c r="AB20" s="132">
        <f>Z20*введение!C$22</f>
        <v>0</v>
      </c>
      <c r="AC20" s="132"/>
    </row>
    <row r="21" spans="1:29" x14ac:dyDescent="0.25">
      <c r="A21" s="91">
        <v>8</v>
      </c>
      <c r="B21" s="91"/>
      <c r="C21" s="91"/>
      <c r="D21" s="91"/>
      <c r="E21" s="100">
        <f>IF(C21=3,0,IF((D21-O21)&gt;введение!C$11,введение!C$11,IF((D21-O21)&lt;=введение!C$11,D21-O21,0)))</f>
        <v>0</v>
      </c>
      <c r="F21" s="145"/>
      <c r="G21" s="145"/>
      <c r="H21" s="148"/>
      <c r="I21" s="132">
        <f t="shared" si="0"/>
        <v>0</v>
      </c>
      <c r="J21" s="147">
        <f>IF(C21=0,0,IF(C21&gt;1,0,IF(D21&lt;=введение!C$20*25,I21/100,I21/10)))</f>
        <v>0</v>
      </c>
      <c r="K21" s="147">
        <f>IF(C21=0,0,IF(C21=1,0,IF(C21=3,I21/10,IF(C21=2,IF(D21&lt;=введение!C$20*25,I21/100,I21/10)))))</f>
        <v>0</v>
      </c>
      <c r="L21" s="92"/>
      <c r="M21" s="21">
        <f t="shared" si="1"/>
        <v>0</v>
      </c>
      <c r="N21" s="92"/>
      <c r="O21" s="21">
        <f t="shared" si="2"/>
        <v>0</v>
      </c>
      <c r="P21" s="92"/>
      <c r="Q21" s="21">
        <f t="shared" si="3"/>
        <v>0</v>
      </c>
      <c r="R21" s="21">
        <f>IF(OR(Q21&lt;=0,),0,MIN(MAX(введение!$C$11,Q21),введение!$C$14))</f>
        <v>0</v>
      </c>
      <c r="S21" s="21">
        <f>ROUND(R21*введение!C$15,0)</f>
        <v>0</v>
      </c>
      <c r="T21" s="92"/>
      <c r="U21" s="21">
        <f t="shared" si="4"/>
        <v>0</v>
      </c>
      <c r="V21" s="21">
        <f t="shared" si="5"/>
        <v>0</v>
      </c>
      <c r="W21" s="92"/>
      <c r="X21" s="128">
        <f>IF(C21=3,0,IF(D21&lt;=введение!C$20*25,I21*90/100,0))</f>
        <v>0</v>
      </c>
      <c r="Y21" s="132">
        <f t="shared" si="6"/>
        <v>0</v>
      </c>
      <c r="Z21" s="132">
        <f>IF(OR(Y21&lt;=0,),0,MIN(MIN(введение!$C$17,Y21),введение!$C$17))</f>
        <v>0</v>
      </c>
      <c r="AA21" s="132">
        <f>Z21*введение!C$18</f>
        <v>0</v>
      </c>
      <c r="AB21" s="132">
        <f>Z21*введение!C$22</f>
        <v>0</v>
      </c>
      <c r="AC21" s="132"/>
    </row>
    <row r="22" spans="1:29" x14ac:dyDescent="0.25">
      <c r="A22" s="91">
        <v>9</v>
      </c>
      <c r="B22" s="91"/>
      <c r="C22" s="91"/>
      <c r="D22" s="91"/>
      <c r="E22" s="100">
        <f>IF(C22=3,0,IF((D22-O22)&gt;введение!C$11,введение!C$11,IF((D22-O22)&lt;=введение!C$11,D22-O22,0)))</f>
        <v>0</v>
      </c>
      <c r="F22" s="145"/>
      <c r="G22" s="145"/>
      <c r="H22" s="148"/>
      <c r="I22" s="132">
        <f t="shared" si="0"/>
        <v>0</v>
      </c>
      <c r="J22" s="147">
        <f>IF(C22=0,0,IF(C22&gt;1,0,IF(D22&lt;=введение!C$20*25,I22/100,I22/10)))</f>
        <v>0</v>
      </c>
      <c r="K22" s="147">
        <f>IF(C22=0,0,IF(C22=1,0,IF(C22=3,I22/10,IF(C22=2,IF(D22&lt;=введение!C$20*25,I22/100,I22/10)))))</f>
        <v>0</v>
      </c>
      <c r="L22" s="92"/>
      <c r="M22" s="21">
        <f t="shared" si="1"/>
        <v>0</v>
      </c>
      <c r="N22" s="92"/>
      <c r="O22" s="21">
        <f t="shared" si="2"/>
        <v>0</v>
      </c>
      <c r="P22" s="92"/>
      <c r="Q22" s="21">
        <f t="shared" si="3"/>
        <v>0</v>
      </c>
      <c r="R22" s="21">
        <f>IF(OR(Q22&lt;=0,),0,MIN(MAX(введение!$C$11,Q22),введение!$C$14))</f>
        <v>0</v>
      </c>
      <c r="S22" s="21">
        <f>ROUND(R22*введение!C$15,0)</f>
        <v>0</v>
      </c>
      <c r="T22" s="92"/>
      <c r="U22" s="21">
        <f t="shared" si="4"/>
        <v>0</v>
      </c>
      <c r="V22" s="21">
        <f t="shared" si="5"/>
        <v>0</v>
      </c>
      <c r="W22" s="92"/>
      <c r="X22" s="128">
        <f>IF(C22=3,0,IF(D22&lt;=введение!C$20*25,I22*90/100,0))</f>
        <v>0</v>
      </c>
      <c r="Y22" s="132">
        <f t="shared" si="6"/>
        <v>0</v>
      </c>
      <c r="Z22" s="132">
        <f>IF(OR(Y22&lt;=0,),0,MIN(MIN(введение!$C$17,Y22),введение!$C$17))</f>
        <v>0</v>
      </c>
      <c r="AA22" s="132">
        <f>Z22*введение!C$18</f>
        <v>0</v>
      </c>
      <c r="AB22" s="132">
        <f>Z22*введение!C$22</f>
        <v>0</v>
      </c>
      <c r="AC22" s="132"/>
    </row>
    <row r="23" spans="1:29" x14ac:dyDescent="0.25">
      <c r="A23" s="91">
        <v>10</v>
      </c>
      <c r="B23" s="91"/>
      <c r="C23" s="91"/>
      <c r="D23" s="91"/>
      <c r="E23" s="100">
        <f>IF(C23=3,0,IF((D23-O23)&gt;введение!C$11,введение!C$11,IF((D23-O23)&lt;=введение!C$11,D23-O23,0)))</f>
        <v>0</v>
      </c>
      <c r="F23" s="145"/>
      <c r="G23" s="145"/>
      <c r="H23" s="148"/>
      <c r="I23" s="132">
        <f t="shared" si="0"/>
        <v>0</v>
      </c>
      <c r="J23" s="147">
        <f>IF(C23=0,0,IF(C23&gt;1,0,IF(D23&lt;=введение!C$20*25,I23/100,I23/10)))</f>
        <v>0</v>
      </c>
      <c r="K23" s="147">
        <f>IF(C23=0,0,IF(C23=1,0,IF(C23=3,I23/10,IF(C23=2,IF(D23&lt;=введение!C$20*25,I23/100,I23/10)))))</f>
        <v>0</v>
      </c>
      <c r="L23" s="92"/>
      <c r="M23" s="21">
        <f t="shared" si="1"/>
        <v>0</v>
      </c>
      <c r="N23" s="92"/>
      <c r="O23" s="21">
        <f t="shared" si="2"/>
        <v>0</v>
      </c>
      <c r="P23" s="92"/>
      <c r="Q23" s="21">
        <f t="shared" si="3"/>
        <v>0</v>
      </c>
      <c r="R23" s="21">
        <f>IF(OR(Q23&lt;=0,),0,MIN(MAX(введение!$C$11,Q23),введение!$C$14))</f>
        <v>0</v>
      </c>
      <c r="S23" s="21">
        <f>ROUND(R23*введение!C$15,0)</f>
        <v>0</v>
      </c>
      <c r="T23" s="92"/>
      <c r="U23" s="21">
        <f t="shared" si="4"/>
        <v>0</v>
      </c>
      <c r="V23" s="21">
        <f t="shared" si="5"/>
        <v>0</v>
      </c>
      <c r="W23" s="92"/>
      <c r="X23" s="128">
        <f>IF(C23=3,0,IF(D23&lt;=введение!C$20*25,I23*90/100,0))</f>
        <v>0</v>
      </c>
      <c r="Y23" s="132">
        <f t="shared" si="6"/>
        <v>0</v>
      </c>
      <c r="Z23" s="132">
        <f>IF(OR(Y23&lt;=0,),0,MIN(MIN(введение!$C$17,Y23),введение!$C$17))</f>
        <v>0</v>
      </c>
      <c r="AA23" s="132">
        <f>Z23*введение!C$18</f>
        <v>0</v>
      </c>
      <c r="AB23" s="132">
        <f>Z23*введение!C$22</f>
        <v>0</v>
      </c>
      <c r="AC23" s="132"/>
    </row>
    <row r="24" spans="1:29" x14ac:dyDescent="0.25">
      <c r="A24" s="91">
        <v>11</v>
      </c>
      <c r="B24" s="91"/>
      <c r="C24" s="91"/>
      <c r="D24" s="91"/>
      <c r="E24" s="100">
        <f>IF(C24=3,0,IF((D24-O24)&gt;введение!C$11,введение!C$11,IF((D24-O24)&lt;=введение!C$11,D24-O24,0)))</f>
        <v>0</v>
      </c>
      <c r="F24" s="145"/>
      <c r="G24" s="145"/>
      <c r="H24" s="148"/>
      <c r="I24" s="132">
        <f t="shared" si="0"/>
        <v>0</v>
      </c>
      <c r="J24" s="147">
        <f>IF(C24=0,0,IF(C24&gt;1,0,IF(D24&lt;=введение!C$20*25,I24/100,I24/10)))</f>
        <v>0</v>
      </c>
      <c r="K24" s="147">
        <f>IF(C24=0,0,IF(C24=1,0,IF(C24=3,I24/10,IF(C24=2,IF(D24&lt;=введение!C$20*25,I24/100,I24/10)))))</f>
        <v>0</v>
      </c>
      <c r="L24" s="92"/>
      <c r="M24" s="21">
        <f t="shared" si="1"/>
        <v>0</v>
      </c>
      <c r="N24" s="92"/>
      <c r="O24" s="21">
        <f t="shared" si="2"/>
        <v>0</v>
      </c>
      <c r="P24" s="92"/>
      <c r="Q24" s="21">
        <f t="shared" si="3"/>
        <v>0</v>
      </c>
      <c r="R24" s="21">
        <f>IF(OR(Q24&lt;=0,),0,MIN(MAX(введение!$C$11,Q24),введение!$C$14))</f>
        <v>0</v>
      </c>
      <c r="S24" s="21">
        <f>ROUND(R24*введение!C$15,0)</f>
        <v>0</v>
      </c>
      <c r="T24" s="92"/>
      <c r="U24" s="21">
        <f t="shared" si="4"/>
        <v>0</v>
      </c>
      <c r="V24" s="21">
        <f t="shared" si="5"/>
        <v>0</v>
      </c>
      <c r="W24" s="92"/>
      <c r="X24" s="128">
        <f>IF(C24=3,0,IF(D24&lt;=введение!C$20*25,I24*90/100,0))</f>
        <v>0</v>
      </c>
      <c r="Y24" s="132">
        <f t="shared" si="6"/>
        <v>0</v>
      </c>
      <c r="Z24" s="132">
        <f>IF(OR(Y24&lt;=0,),0,MIN(MIN(введение!$C$17,Y24),введение!$C$17))</f>
        <v>0</v>
      </c>
      <c r="AA24" s="132">
        <f>Z24*введение!C$18</f>
        <v>0</v>
      </c>
      <c r="AB24" s="132">
        <f>Z24*введение!C$22</f>
        <v>0</v>
      </c>
      <c r="AC24" s="132"/>
    </row>
    <row r="25" spans="1:29" x14ac:dyDescent="0.25">
      <c r="A25" s="91">
        <v>12</v>
      </c>
      <c r="B25" s="91"/>
      <c r="C25" s="91"/>
      <c r="D25" s="91"/>
      <c r="E25" s="100">
        <f>IF(C25=3,0,IF((D25-O25)&gt;введение!C$11,введение!C$11,IF((D25-O25)&lt;=введение!C$11,D25-O25,0)))</f>
        <v>0</v>
      </c>
      <c r="F25" s="145"/>
      <c r="G25" s="145"/>
      <c r="H25" s="148"/>
      <c r="I25" s="132">
        <f t="shared" si="0"/>
        <v>0</v>
      </c>
      <c r="J25" s="147">
        <f>IF(C25=0,0,IF(C25&gt;1,0,IF(D25&lt;=введение!C$20*25,I25/100,I25/10)))</f>
        <v>0</v>
      </c>
      <c r="K25" s="147">
        <f>IF(C25=0,0,IF(C25=1,0,IF(C25=3,I25/10,IF(C25=2,IF(D25&lt;=введение!C$20*25,I25/100,I25/10)))))</f>
        <v>0</v>
      </c>
      <c r="L25" s="92"/>
      <c r="M25" s="21">
        <f t="shared" si="1"/>
        <v>0</v>
      </c>
      <c r="N25" s="92"/>
      <c r="O25" s="21">
        <f t="shared" si="2"/>
        <v>0</v>
      </c>
      <c r="P25" s="92"/>
      <c r="Q25" s="21">
        <f t="shared" si="3"/>
        <v>0</v>
      </c>
      <c r="R25" s="21">
        <f>IF(OR(Q25&lt;=0,),0,MIN(MAX(введение!$C$11,Q25),введение!$C$14))</f>
        <v>0</v>
      </c>
      <c r="S25" s="21">
        <f>ROUND(R25*введение!C$15,0)</f>
        <v>0</v>
      </c>
      <c r="T25" s="92"/>
      <c r="U25" s="21">
        <f t="shared" si="4"/>
        <v>0</v>
      </c>
      <c r="V25" s="21">
        <f t="shared" si="5"/>
        <v>0</v>
      </c>
      <c r="W25" s="92"/>
      <c r="X25" s="128">
        <f>IF(C25=3,0,IF(D25&lt;=введение!C$20*25,I25*90/100,0))</f>
        <v>0</v>
      </c>
      <c r="Y25" s="132">
        <f t="shared" si="6"/>
        <v>0</v>
      </c>
      <c r="Z25" s="132">
        <f>IF(OR(Y25&lt;=0,),0,MIN(MIN(введение!$C$17,Y25),введение!$C$17))</f>
        <v>0</v>
      </c>
      <c r="AA25" s="132">
        <f>Z25*введение!C$18</f>
        <v>0</v>
      </c>
      <c r="AB25" s="132">
        <f>Z25*введение!C$22</f>
        <v>0</v>
      </c>
      <c r="AC25" s="132"/>
    </row>
    <row r="26" spans="1:29" x14ac:dyDescent="0.25">
      <c r="A26" s="316" t="s">
        <v>73</v>
      </c>
      <c r="B26" s="317"/>
      <c r="C26" s="87"/>
      <c r="D26" s="22">
        <f>SUM(D14:D25)</f>
        <v>0</v>
      </c>
      <c r="E26" s="22">
        <f t="shared" ref="E26:U26" si="7">SUM(E14:E25)</f>
        <v>0</v>
      </c>
      <c r="F26" s="133">
        <f t="shared" si="7"/>
        <v>0</v>
      </c>
      <c r="G26" s="133">
        <f t="shared" si="7"/>
        <v>0</v>
      </c>
      <c r="H26" s="133">
        <f t="shared" si="7"/>
        <v>0</v>
      </c>
      <c r="I26" s="133">
        <f t="shared" si="7"/>
        <v>0</v>
      </c>
      <c r="J26" s="133">
        <f t="shared" si="7"/>
        <v>0</v>
      </c>
      <c r="K26" s="133">
        <f t="shared" si="7"/>
        <v>0</v>
      </c>
      <c r="L26" s="22">
        <f t="shared" si="7"/>
        <v>0</v>
      </c>
      <c r="M26" s="22">
        <f t="shared" si="7"/>
        <v>0</v>
      </c>
      <c r="N26" s="22">
        <f>SUM(N14:N25)</f>
        <v>0</v>
      </c>
      <c r="O26" s="22">
        <f>SUM(O14:O25)</f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>SUM(S14:S25)</f>
        <v>0</v>
      </c>
      <c r="T26" s="22">
        <f t="shared" si="7"/>
        <v>0</v>
      </c>
      <c r="U26" s="22">
        <f t="shared" si="7"/>
        <v>0</v>
      </c>
      <c r="V26" s="22">
        <f t="shared" ref="V26:AB26" si="8">SUM(V14:V25)</f>
        <v>0</v>
      </c>
      <c r="W26" s="22">
        <f t="shared" si="8"/>
        <v>0</v>
      </c>
      <c r="X26" s="133">
        <f t="shared" si="8"/>
        <v>0</v>
      </c>
      <c r="Y26" s="133">
        <f t="shared" si="8"/>
        <v>0</v>
      </c>
      <c r="Z26" s="133">
        <f t="shared" si="8"/>
        <v>0</v>
      </c>
      <c r="AA26" s="133">
        <f t="shared" si="8"/>
        <v>0</v>
      </c>
      <c r="AB26" s="133">
        <f t="shared" si="8"/>
        <v>0</v>
      </c>
      <c r="AC26" s="134">
        <f>IF(D26&gt;0,D26/V26,0)</f>
        <v>0</v>
      </c>
    </row>
    <row r="27" spans="1:29" x14ac:dyDescent="0.25">
      <c r="A27" s="42"/>
      <c r="B27" s="42"/>
      <c r="C27" s="43"/>
      <c r="D27" s="43"/>
    </row>
    <row r="28" spans="1:29" x14ac:dyDescent="0.25">
      <c r="A28" s="44" t="s">
        <v>62</v>
      </c>
      <c r="B28" s="37"/>
      <c r="C28"/>
      <c r="D28"/>
    </row>
    <row r="29" spans="1:29" x14ac:dyDescent="0.25">
      <c r="A29" s="37"/>
      <c r="B29" s="37"/>
      <c r="C29"/>
      <c r="D29"/>
    </row>
    <row r="30" spans="1:29" x14ac:dyDescent="0.25">
      <c r="A30" s="42"/>
      <c r="B30" s="42"/>
      <c r="C30" s="43"/>
      <c r="D30" s="43"/>
    </row>
    <row r="31" spans="1:29" x14ac:dyDescent="0.25">
      <c r="A31" s="44" t="s">
        <v>63</v>
      </c>
      <c r="B31" s="37"/>
      <c r="C31"/>
      <c r="D31"/>
    </row>
    <row r="32" spans="1:29" x14ac:dyDescent="0.25">
      <c r="A32" s="37"/>
      <c r="B32" s="37"/>
      <c r="C32"/>
      <c r="D32"/>
    </row>
    <row r="33" spans="1:4" x14ac:dyDescent="0.25">
      <c r="A33" s="42"/>
      <c r="B33" s="42"/>
      <c r="C33" s="43"/>
      <c r="D33" s="43"/>
    </row>
    <row r="34" spans="1:4" x14ac:dyDescent="0.25">
      <c r="A34" s="44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2"/>
      <c r="B36" s="42"/>
      <c r="C36" s="43"/>
      <c r="D36"/>
    </row>
    <row r="37" spans="1:4" x14ac:dyDescent="0.25">
      <c r="A37" s="44" t="s">
        <v>64</v>
      </c>
      <c r="B37" s="37"/>
      <c r="C37"/>
      <c r="D37"/>
    </row>
    <row r="38" spans="1:4" x14ac:dyDescent="0.25">
      <c r="A38" s="49"/>
      <c r="B38" s="49"/>
      <c r="C38" s="49"/>
      <c r="D38" s="49"/>
    </row>
  </sheetData>
  <mergeCells count="2">
    <mergeCell ref="A11:H11"/>
    <mergeCell ref="A26:B26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AC38"/>
  <sheetViews>
    <sheetView topLeftCell="A13" workbookViewId="0">
      <selection activeCell="G21" sqref="G2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8" width="8.7109375" style="17"/>
    <col min="9" max="9" width="11" style="17" customWidth="1"/>
    <col min="10" max="10" width="9.5703125" style="17" customWidth="1"/>
    <col min="11" max="11" width="10" style="17" customWidth="1"/>
    <col min="12" max="12" width="12.5703125" style="17" customWidth="1"/>
    <col min="13" max="13" width="8.7109375" style="17"/>
    <col min="14" max="14" width="10.42578125" style="17" customWidth="1"/>
    <col min="15" max="15" width="13.7109375" style="17" customWidth="1"/>
    <col min="16" max="16" width="15.42578125" style="17" customWidth="1"/>
    <col min="17" max="17" width="16" style="17" customWidth="1"/>
    <col min="18" max="18" width="19.7109375" style="17" customWidth="1"/>
    <col min="19" max="19" width="13" style="17" customWidth="1"/>
    <col min="20" max="23" width="8.7109375" style="17"/>
    <col min="24" max="24" width="15" style="5" bestFit="1" customWidth="1"/>
    <col min="25" max="26" width="14.5703125" style="17" bestFit="1" customWidth="1"/>
    <col min="27" max="27" width="11.85546875" style="17" bestFit="1" customWidth="1"/>
    <col min="28" max="28" width="11.85546875" style="17" customWidth="1"/>
    <col min="29" max="29" width="13.28515625" style="17" bestFit="1" customWidth="1"/>
    <col min="30" max="16384" width="8.7109375" style="17"/>
  </cols>
  <sheetData>
    <row r="2" spans="1:29" x14ac:dyDescent="0.25">
      <c r="K2" s="19"/>
      <c r="S2" s="18" t="s">
        <v>14</v>
      </c>
    </row>
    <row r="3" spans="1:29" x14ac:dyDescent="0.25">
      <c r="A3" s="20"/>
      <c r="B3" s="20"/>
      <c r="C3" s="20"/>
      <c r="D3" s="20"/>
    </row>
    <row r="4" spans="1:29" x14ac:dyDescent="0.25">
      <c r="A4" s="56" t="s">
        <v>67</v>
      </c>
      <c r="B4" s="43"/>
      <c r="C4" s="56"/>
      <c r="D4" s="56"/>
    </row>
    <row r="5" spans="1:29" x14ac:dyDescent="0.25">
      <c r="A5" s="36"/>
      <c r="B5" s="36"/>
      <c r="C5" s="36"/>
      <c r="D5" s="36"/>
    </row>
    <row r="6" spans="1:29" x14ac:dyDescent="0.25">
      <c r="A6" s="36">
        <v>1</v>
      </c>
      <c r="B6" s="56" t="s">
        <v>68</v>
      </c>
      <c r="C6" s="56"/>
      <c r="D6" s="56"/>
    </row>
    <row r="7" spans="1:29" x14ac:dyDescent="0.25">
      <c r="A7" s="36">
        <v>2</v>
      </c>
      <c r="B7" s="57" t="s">
        <v>15</v>
      </c>
      <c r="C7" s="57"/>
      <c r="D7" s="74">
        <f>'№ 910 Декларация '!D8</f>
        <v>461040002572</v>
      </c>
    </row>
    <row r="8" spans="1:29" x14ac:dyDescent="0.25">
      <c r="A8" s="36">
        <v>3</v>
      </c>
      <c r="B8" s="56" t="s">
        <v>93</v>
      </c>
      <c r="C8" s="56"/>
      <c r="D8" s="56" t="str">
        <f>IF('№ 910 Декларация '!L12=1,"май","ноябрь")</f>
        <v>май</v>
      </c>
      <c r="E8" s="17">
        <f>'№ 910 Декларация '!O12</f>
        <v>2020</v>
      </c>
    </row>
    <row r="9" spans="1:29" x14ac:dyDescent="0.25">
      <c r="A9" s="49"/>
      <c r="B9" s="49"/>
      <c r="C9" s="49"/>
      <c r="D9" s="49"/>
      <c r="E9" s="49"/>
      <c r="F9" s="49"/>
      <c r="G9" s="49"/>
    </row>
    <row r="10" spans="1:29" ht="43.5" customHeight="1" x14ac:dyDescent="0.25">
      <c r="A10" s="315" t="s">
        <v>175</v>
      </c>
      <c r="B10" s="315"/>
      <c r="C10" s="315"/>
      <c r="D10" s="315"/>
      <c r="E10" s="315"/>
      <c r="F10" s="315"/>
      <c r="G10" s="315"/>
      <c r="H10" s="315"/>
    </row>
    <row r="11" spans="1:29" x14ac:dyDescent="0.25">
      <c r="A11" s="49"/>
      <c r="B11" s="49"/>
      <c r="C11" s="49"/>
      <c r="D11" s="49"/>
      <c r="E11" s="49"/>
      <c r="F11" s="49"/>
      <c r="G11" s="49"/>
    </row>
    <row r="12" spans="1:29" x14ac:dyDescent="0.25">
      <c r="A12" s="49"/>
      <c r="B12" s="49"/>
      <c r="C12" s="49"/>
      <c r="D12" s="49"/>
      <c r="E12" s="49"/>
      <c r="F12" s="49"/>
      <c r="G12" s="49"/>
    </row>
    <row r="13" spans="1:29" ht="153" x14ac:dyDescent="0.25">
      <c r="A13" s="58" t="s">
        <v>69</v>
      </c>
      <c r="B13" s="58" t="s">
        <v>70</v>
      </c>
      <c r="C13" s="39" t="s">
        <v>133</v>
      </c>
      <c r="D13" s="58" t="s">
        <v>71</v>
      </c>
      <c r="E13" s="58" t="s">
        <v>72</v>
      </c>
      <c r="F13" s="39" t="s">
        <v>210</v>
      </c>
      <c r="G13" s="39" t="s">
        <v>209</v>
      </c>
      <c r="H13" s="58" t="s">
        <v>76</v>
      </c>
      <c r="I13" s="58" t="s">
        <v>77</v>
      </c>
      <c r="J13" s="39" t="s">
        <v>134</v>
      </c>
      <c r="K13" s="39" t="s">
        <v>135</v>
      </c>
      <c r="L13" s="58" t="s">
        <v>78</v>
      </c>
      <c r="M13" s="58" t="s">
        <v>79</v>
      </c>
      <c r="N13" s="58" t="s">
        <v>104</v>
      </c>
      <c r="O13" s="58" t="s">
        <v>80</v>
      </c>
      <c r="P13" s="58" t="s">
        <v>81</v>
      </c>
      <c r="Q13" s="58" t="s">
        <v>82</v>
      </c>
      <c r="R13" s="58" t="s">
        <v>83</v>
      </c>
      <c r="S13" s="58" t="s">
        <v>84</v>
      </c>
      <c r="T13" s="58" t="s">
        <v>94</v>
      </c>
      <c r="U13" s="58" t="s">
        <v>95</v>
      </c>
      <c r="V13" s="58" t="s">
        <v>96</v>
      </c>
      <c r="W13" s="39" t="s">
        <v>121</v>
      </c>
      <c r="X13" s="39" t="s">
        <v>188</v>
      </c>
      <c r="Y13" s="39" t="s">
        <v>187</v>
      </c>
      <c r="Z13" s="39" t="s">
        <v>122</v>
      </c>
      <c r="AA13" s="39" t="s">
        <v>124</v>
      </c>
      <c r="AB13" s="39" t="s">
        <v>206</v>
      </c>
      <c r="AC13" s="39" t="s">
        <v>129</v>
      </c>
    </row>
    <row r="14" spans="1:29" x14ac:dyDescent="0.25">
      <c r="A14" s="91">
        <v>1</v>
      </c>
      <c r="B14" s="91"/>
      <c r="C14" s="91"/>
      <c r="D14" s="145"/>
      <c r="E14" s="100">
        <f>IF(C14=3,0,IF((D14-O14)&gt;введение!C$11,введение!C$11,IF((D14-O14)&lt;=введение!C$11,D14-O14,0)))</f>
        <v>0</v>
      </c>
      <c r="F14" s="145"/>
      <c r="G14" s="145"/>
      <c r="H14" s="148"/>
      <c r="I14" s="132">
        <f>IF(C14=3,D14-H14,D14-H14-E14-O14-F14-G14)</f>
        <v>0</v>
      </c>
      <c r="J14" s="147">
        <f>IF(C14=0,0,IF(C14&gt;1,0,IF(D14&lt;=введение!C$20*25,I14/100,I14/10)))</f>
        <v>0</v>
      </c>
      <c r="K14" s="147">
        <f>IF(C14=0,0,IF(C14=1,0,IF(C14=3,I14/10,IF(C14=2,IF(D14&lt;=введение!C$20*25,I14/100,I14/10)))))</f>
        <v>0</v>
      </c>
      <c r="L14" s="92"/>
      <c r="M14" s="21">
        <f>IF(C14=3,0,IF(N14=1,0,D14-L14))</f>
        <v>0</v>
      </c>
      <c r="N14" s="92"/>
      <c r="O14" s="21">
        <f>M14*10%</f>
        <v>0</v>
      </c>
      <c r="P14" s="92"/>
      <c r="Q14" s="21">
        <f>IF(C14=3,0,IF(N14=1,0,D14-O14-P14))</f>
        <v>0</v>
      </c>
      <c r="R14" s="21">
        <f>IF(OR(Q14&lt;=0,),0,MIN(MAX(введение!$C$11,Q14),введение!$C$14))</f>
        <v>0</v>
      </c>
      <c r="S14" s="21">
        <f>ROUND(R14*введение!C$15,0)</f>
        <v>0</v>
      </c>
      <c r="T14" s="92"/>
      <c r="U14" s="21">
        <f>ROUND(T14*0.05,0)</f>
        <v>0</v>
      </c>
      <c r="V14" s="21">
        <f>IF(D14=0,0,1)</f>
        <v>0</v>
      </c>
      <c r="W14" s="92"/>
      <c r="X14" s="128">
        <f>IF(C14=3,0,IF(D14&lt;=введение!C$20*25,I14*90/100,0))</f>
        <v>0</v>
      </c>
      <c r="Y14" s="132">
        <f>IF(C14=3,0,IF(N14=1,0,D14-W14-X14))</f>
        <v>0</v>
      </c>
      <c r="Z14" s="132">
        <f>IF(OR(Y14&lt;=0,),0,MIN(MIN(введение!$C$17,Y14),введение!$C$17))</f>
        <v>0</v>
      </c>
      <c r="AA14" s="132">
        <f>Z14*введение!C$18</f>
        <v>0</v>
      </c>
      <c r="AB14" s="132">
        <f>Z14*введение!C$22</f>
        <v>0</v>
      </c>
      <c r="AC14" s="132"/>
    </row>
    <row r="15" spans="1:29" x14ac:dyDescent="0.25">
      <c r="A15" s="91">
        <v>2</v>
      </c>
      <c r="B15" s="91"/>
      <c r="C15" s="91"/>
      <c r="D15" s="145"/>
      <c r="E15" s="100">
        <f>IF(C15=3,0,IF((D15-O15)&gt;введение!C$11,введение!C$11,IF((D15-O15)&lt;=введение!C$11,D15-O15,0)))</f>
        <v>0</v>
      </c>
      <c r="F15" s="145"/>
      <c r="G15" s="145"/>
      <c r="H15" s="148"/>
      <c r="I15" s="132">
        <f t="shared" ref="I15:I25" si="0">IF(C15=3,D15-H15,D15-H15-E15-O15-F15-G15)</f>
        <v>0</v>
      </c>
      <c r="J15" s="147">
        <f>IF(C15=0,0,IF(C15&gt;1,0,IF(D15&lt;=введение!C$20*25,I15/100,I15/10)))</f>
        <v>0</v>
      </c>
      <c r="K15" s="147">
        <f>IF(C15=0,0,IF(C15=1,0,IF(C15=3,I15/10,IF(C15=2,IF(D15&lt;=введение!C$20*25,I15/100,I15/10)))))</f>
        <v>0</v>
      </c>
      <c r="L15" s="92"/>
      <c r="M15" s="21">
        <f t="shared" ref="M15:M25" si="1">IF(C15=3,0,IF(N15=1,0,D15-L15))</f>
        <v>0</v>
      </c>
      <c r="N15" s="92"/>
      <c r="O15" s="21">
        <f t="shared" ref="O15:O25" si="2">M15*10%</f>
        <v>0</v>
      </c>
      <c r="P15" s="92"/>
      <c r="Q15" s="21">
        <f t="shared" ref="Q15:Q25" si="3">IF(C15=3,0,IF(N15=1,0,D15-O15-P15))</f>
        <v>0</v>
      </c>
      <c r="R15" s="21">
        <f>IF(OR(Q15&lt;=0,),0,MIN(MAX(введение!$C$11,Q15),введение!$C$14))</f>
        <v>0</v>
      </c>
      <c r="S15" s="21">
        <f>ROUND(R15*введение!C$15,0)</f>
        <v>0</v>
      </c>
      <c r="T15" s="92"/>
      <c r="U15" s="21">
        <f t="shared" ref="U15:U25" si="4">ROUND(T15*0.05,0)</f>
        <v>0</v>
      </c>
      <c r="V15" s="21">
        <f t="shared" ref="V15:V25" si="5">IF(D15=0,0,1)</f>
        <v>0</v>
      </c>
      <c r="W15" s="92"/>
      <c r="X15" s="128">
        <f>IF(C15=3,0,IF(D15&lt;=введение!C$20*25,I15*90/100,0))</f>
        <v>0</v>
      </c>
      <c r="Y15" s="132">
        <f t="shared" ref="Y15:Y25" si="6">IF(C15=3,0,IF(N15=1,0,D15-W15-X15))</f>
        <v>0</v>
      </c>
      <c r="Z15" s="132">
        <f>IF(OR(Y15&lt;=0,),0,MIN(MIN(введение!$C$17,Y15),введение!$C$17))</f>
        <v>0</v>
      </c>
      <c r="AA15" s="132">
        <f>Z15*введение!C$18</f>
        <v>0</v>
      </c>
      <c r="AB15" s="132">
        <f>Z15*введение!C$22</f>
        <v>0</v>
      </c>
      <c r="AC15" s="132"/>
    </row>
    <row r="16" spans="1:29" x14ac:dyDescent="0.25">
      <c r="A16" s="91">
        <v>3</v>
      </c>
      <c r="B16" s="91"/>
      <c r="C16" s="91"/>
      <c r="D16" s="145"/>
      <c r="E16" s="100">
        <f>IF(C16=3,0,IF((D16-O16)&gt;введение!C$11,введение!C$11,IF((D16-O16)&lt;=введение!C$11,D16-O16,0)))</f>
        <v>0</v>
      </c>
      <c r="F16" s="145"/>
      <c r="G16" s="145"/>
      <c r="H16" s="148"/>
      <c r="I16" s="132">
        <f t="shared" si="0"/>
        <v>0</v>
      </c>
      <c r="J16" s="147">
        <f>IF(C16=0,0,IF(C16&gt;1,0,IF(D16&lt;=введение!C$20*25,I16/100,I16/10)))</f>
        <v>0</v>
      </c>
      <c r="K16" s="147">
        <f>IF(C16=0,0,IF(C16=1,0,IF(C16=3,I16/10,IF(C16=2,IF(D16&lt;=введение!C$20*25,I16/100,I16/10)))))</f>
        <v>0</v>
      </c>
      <c r="L16" s="92"/>
      <c r="M16" s="21">
        <f t="shared" si="1"/>
        <v>0</v>
      </c>
      <c r="N16" s="92"/>
      <c r="O16" s="21">
        <f t="shared" si="2"/>
        <v>0</v>
      </c>
      <c r="P16" s="92"/>
      <c r="Q16" s="21">
        <f t="shared" si="3"/>
        <v>0</v>
      </c>
      <c r="R16" s="21">
        <f>IF(OR(Q16&lt;=0,),0,MIN(MAX(введение!$C$11,Q16),введение!$C$14))</f>
        <v>0</v>
      </c>
      <c r="S16" s="21">
        <f>ROUND(R16*введение!C$15,0)</f>
        <v>0</v>
      </c>
      <c r="T16" s="92"/>
      <c r="U16" s="21">
        <f t="shared" si="4"/>
        <v>0</v>
      </c>
      <c r="V16" s="21">
        <f t="shared" si="5"/>
        <v>0</v>
      </c>
      <c r="W16" s="92"/>
      <c r="X16" s="128">
        <f>IF(C16=3,0,IF(D16&lt;=введение!C$20*25,I16*90/100,0))</f>
        <v>0</v>
      </c>
      <c r="Y16" s="132">
        <f t="shared" si="6"/>
        <v>0</v>
      </c>
      <c r="Z16" s="132">
        <f>IF(OR(Y16&lt;=0,),0,MIN(MIN(введение!$C$17,Y16),введение!$C$17))</f>
        <v>0</v>
      </c>
      <c r="AA16" s="132">
        <f>Z16*введение!C$18</f>
        <v>0</v>
      </c>
      <c r="AB16" s="132">
        <f>Z16*введение!C$22</f>
        <v>0</v>
      </c>
      <c r="AC16" s="132"/>
    </row>
    <row r="17" spans="1:29" x14ac:dyDescent="0.25">
      <c r="A17" s="91">
        <v>4</v>
      </c>
      <c r="B17" s="91"/>
      <c r="C17" s="91"/>
      <c r="D17" s="145"/>
      <c r="E17" s="100">
        <f>IF(C17=3,0,IF((D17-O17)&gt;введение!C$11,введение!C$11,IF((D17-O17)&lt;=введение!C$11,D17-O17,0)))</f>
        <v>0</v>
      </c>
      <c r="F17" s="145"/>
      <c r="G17" s="145"/>
      <c r="H17" s="148"/>
      <c r="I17" s="132">
        <f t="shared" si="0"/>
        <v>0</v>
      </c>
      <c r="J17" s="147">
        <f>IF(C17=0,0,IF(C17&gt;1,0,IF(D17&lt;=введение!C$20*25,I17/100,I17/10)))</f>
        <v>0</v>
      </c>
      <c r="K17" s="147">
        <f>IF(C17=0,0,IF(C17=1,0,IF(C17=3,I17/10,IF(C17=2,IF(D17&lt;=введение!C$20*25,I17/100,I17/10)))))</f>
        <v>0</v>
      </c>
      <c r="L17" s="92"/>
      <c r="M17" s="21">
        <f t="shared" si="1"/>
        <v>0</v>
      </c>
      <c r="N17" s="92"/>
      <c r="O17" s="21">
        <f t="shared" si="2"/>
        <v>0</v>
      </c>
      <c r="P17" s="92"/>
      <c r="Q17" s="21">
        <f t="shared" si="3"/>
        <v>0</v>
      </c>
      <c r="R17" s="21">
        <f>IF(OR(Q17&lt;=0,),0,MIN(MAX(введение!$C$11,Q17),введение!$C$14))</f>
        <v>0</v>
      </c>
      <c r="S17" s="21">
        <f>ROUND(R17*введение!C$15,0)</f>
        <v>0</v>
      </c>
      <c r="T17" s="92"/>
      <c r="U17" s="21">
        <f t="shared" si="4"/>
        <v>0</v>
      </c>
      <c r="V17" s="21">
        <f t="shared" si="5"/>
        <v>0</v>
      </c>
      <c r="W17" s="92"/>
      <c r="X17" s="128">
        <f>IF(C17=3,0,IF(D17&lt;=введение!C$20*25,I17*90/100,0))</f>
        <v>0</v>
      </c>
      <c r="Y17" s="132">
        <f t="shared" si="6"/>
        <v>0</v>
      </c>
      <c r="Z17" s="132">
        <f>IF(OR(Y17&lt;=0,),0,MIN(MIN(введение!$C$17,Y17),введение!$C$17))</f>
        <v>0</v>
      </c>
      <c r="AA17" s="132">
        <f>Z17*введение!C$18</f>
        <v>0</v>
      </c>
      <c r="AB17" s="132">
        <f>Z17*введение!C$22</f>
        <v>0</v>
      </c>
      <c r="AC17" s="132"/>
    </row>
    <row r="18" spans="1:29" x14ac:dyDescent="0.25">
      <c r="A18" s="91">
        <v>5</v>
      </c>
      <c r="B18" s="91"/>
      <c r="C18" s="91"/>
      <c r="D18" s="91"/>
      <c r="E18" s="100">
        <f>IF(C18=3,0,IF((D18-O18)&gt;введение!C$11,введение!C$11,IF((D18-O18)&lt;=введение!C$11,D18-O18,0)))</f>
        <v>0</v>
      </c>
      <c r="F18" s="145"/>
      <c r="G18" s="145"/>
      <c r="H18" s="148"/>
      <c r="I18" s="132">
        <f t="shared" si="0"/>
        <v>0</v>
      </c>
      <c r="J18" s="147">
        <f>IF(C18=0,0,IF(C18&gt;1,0,IF(D18&lt;=введение!C$20*25,I18/100,I18/10)))</f>
        <v>0</v>
      </c>
      <c r="K18" s="147">
        <f>IF(C18=0,0,IF(C18=1,0,IF(C18=3,I18/10,IF(C18=2,IF(D18&lt;=введение!C$20*25,I18/100,I18/10)))))</f>
        <v>0</v>
      </c>
      <c r="L18" s="92"/>
      <c r="M18" s="21">
        <f t="shared" si="1"/>
        <v>0</v>
      </c>
      <c r="N18" s="92"/>
      <c r="O18" s="21">
        <f t="shared" si="2"/>
        <v>0</v>
      </c>
      <c r="P18" s="92"/>
      <c r="Q18" s="21">
        <f t="shared" si="3"/>
        <v>0</v>
      </c>
      <c r="R18" s="21">
        <f>IF(OR(Q18&lt;=0,),0,MIN(MAX(введение!$C$11,Q18),введение!$C$14))</f>
        <v>0</v>
      </c>
      <c r="S18" s="21">
        <f>ROUND(R18*введение!C$15,0)</f>
        <v>0</v>
      </c>
      <c r="T18" s="92"/>
      <c r="U18" s="21">
        <f t="shared" si="4"/>
        <v>0</v>
      </c>
      <c r="V18" s="21">
        <f t="shared" si="5"/>
        <v>0</v>
      </c>
      <c r="W18" s="92"/>
      <c r="X18" s="128">
        <f>IF(C18=3,0,IF(D18&lt;=введение!C$20*25,I18*90/100,0))</f>
        <v>0</v>
      </c>
      <c r="Y18" s="132">
        <f t="shared" si="6"/>
        <v>0</v>
      </c>
      <c r="Z18" s="132">
        <f>IF(OR(Y18&lt;=0,),0,MIN(MIN(введение!$C$17,Y18),введение!$C$17))</f>
        <v>0</v>
      </c>
      <c r="AA18" s="132">
        <f>Z18*введение!C$18</f>
        <v>0</v>
      </c>
      <c r="AB18" s="132">
        <f>Z18*введение!C$22</f>
        <v>0</v>
      </c>
      <c r="AC18" s="132"/>
    </row>
    <row r="19" spans="1:29" x14ac:dyDescent="0.25">
      <c r="A19" s="91">
        <v>6</v>
      </c>
      <c r="B19" s="91"/>
      <c r="C19" s="91"/>
      <c r="D19" s="91"/>
      <c r="E19" s="100">
        <f>IF(C19=3,0,IF((D19-O19)&gt;введение!C$11,введение!C$11,IF((D19-O19)&lt;=введение!C$11,D19-O19,0)))</f>
        <v>0</v>
      </c>
      <c r="F19" s="145"/>
      <c r="G19" s="145"/>
      <c r="H19" s="148"/>
      <c r="I19" s="132">
        <f t="shared" si="0"/>
        <v>0</v>
      </c>
      <c r="J19" s="147">
        <f>IF(C19=0,0,IF(C19&gt;1,0,IF(D19&lt;=введение!C$20*25,I19/100,I19/10)))</f>
        <v>0</v>
      </c>
      <c r="K19" s="147">
        <f>IF(C19=0,0,IF(C19=1,0,IF(C19=3,I19/10,IF(C19=2,IF(D19&lt;=введение!C$20*25,I19/100,I19/10)))))</f>
        <v>0</v>
      </c>
      <c r="L19" s="92"/>
      <c r="M19" s="21">
        <f t="shared" si="1"/>
        <v>0</v>
      </c>
      <c r="N19" s="92"/>
      <c r="O19" s="21">
        <f t="shared" si="2"/>
        <v>0</v>
      </c>
      <c r="P19" s="92"/>
      <c r="Q19" s="21">
        <f t="shared" si="3"/>
        <v>0</v>
      </c>
      <c r="R19" s="21">
        <f>IF(OR(Q19&lt;=0,),0,MIN(MAX(введение!$C$11,Q19),введение!$C$14))</f>
        <v>0</v>
      </c>
      <c r="S19" s="21">
        <f>ROUND(R19*введение!C$15,0)</f>
        <v>0</v>
      </c>
      <c r="T19" s="92"/>
      <c r="U19" s="21">
        <f t="shared" si="4"/>
        <v>0</v>
      </c>
      <c r="V19" s="21">
        <f t="shared" si="5"/>
        <v>0</v>
      </c>
      <c r="W19" s="92"/>
      <c r="X19" s="128">
        <f>IF(C19=3,0,IF(D19&lt;=введение!C$20*25,I19*90/100,0))</f>
        <v>0</v>
      </c>
      <c r="Y19" s="132">
        <f t="shared" si="6"/>
        <v>0</v>
      </c>
      <c r="Z19" s="132">
        <f>IF(OR(Y19&lt;=0,),0,MIN(MIN(введение!$C$17,Y19),введение!$C$17))</f>
        <v>0</v>
      </c>
      <c r="AA19" s="132">
        <f>Z19*введение!C$18</f>
        <v>0</v>
      </c>
      <c r="AB19" s="132">
        <f>Z19*введение!C$22</f>
        <v>0</v>
      </c>
      <c r="AC19" s="132"/>
    </row>
    <row r="20" spans="1:29" x14ac:dyDescent="0.25">
      <c r="A20" s="91">
        <v>7</v>
      </c>
      <c r="B20" s="91"/>
      <c r="C20" s="91"/>
      <c r="D20" s="91"/>
      <c r="E20" s="100">
        <f>IF(C20=3,0,IF((D20-O20)&gt;введение!C$11,введение!C$11,IF((D20-O20)&lt;=введение!C$11,D20-O20,0)))</f>
        <v>0</v>
      </c>
      <c r="F20" s="145"/>
      <c r="G20" s="145"/>
      <c r="H20" s="148"/>
      <c r="I20" s="132">
        <f t="shared" si="0"/>
        <v>0</v>
      </c>
      <c r="J20" s="147">
        <f>IF(C20=0,0,IF(C20&gt;1,0,IF(D20&lt;=введение!C$20*25,I20/100,I20/10)))</f>
        <v>0</v>
      </c>
      <c r="K20" s="147">
        <f>IF(C20=0,0,IF(C20=1,0,IF(C20=3,I20/10,IF(C20=2,IF(D20&lt;=введение!C$20*25,I20/100,I20/10)))))</f>
        <v>0</v>
      </c>
      <c r="L20" s="92"/>
      <c r="M20" s="21">
        <f t="shared" si="1"/>
        <v>0</v>
      </c>
      <c r="N20" s="92"/>
      <c r="O20" s="21">
        <f t="shared" si="2"/>
        <v>0</v>
      </c>
      <c r="P20" s="92"/>
      <c r="Q20" s="21">
        <f t="shared" si="3"/>
        <v>0</v>
      </c>
      <c r="R20" s="21">
        <f>IF(OR(Q20&lt;=0,),0,MIN(MAX(введение!$C$11,Q20),введение!$C$14))</f>
        <v>0</v>
      </c>
      <c r="S20" s="21">
        <f>ROUND(R20*введение!C$15,0)</f>
        <v>0</v>
      </c>
      <c r="T20" s="92"/>
      <c r="U20" s="21">
        <f t="shared" si="4"/>
        <v>0</v>
      </c>
      <c r="V20" s="21">
        <f t="shared" si="5"/>
        <v>0</v>
      </c>
      <c r="W20" s="92"/>
      <c r="X20" s="128">
        <f>IF(C20=3,0,IF(D20&lt;=введение!C$20*25,I20*90/100,0))</f>
        <v>0</v>
      </c>
      <c r="Y20" s="132">
        <f t="shared" si="6"/>
        <v>0</v>
      </c>
      <c r="Z20" s="132">
        <f>IF(OR(Y20&lt;=0,),0,MIN(MIN(введение!$C$17,Y20),введение!$C$17))</f>
        <v>0</v>
      </c>
      <c r="AA20" s="132">
        <f>Z20*введение!C$18</f>
        <v>0</v>
      </c>
      <c r="AB20" s="132">
        <f>Z20*введение!C$22</f>
        <v>0</v>
      </c>
      <c r="AC20" s="132"/>
    </row>
    <row r="21" spans="1:29" x14ac:dyDescent="0.25">
      <c r="A21" s="91">
        <v>8</v>
      </c>
      <c r="B21" s="91"/>
      <c r="C21" s="91"/>
      <c r="D21" s="91"/>
      <c r="E21" s="100">
        <f>IF(C21=3,0,IF((D21-O21)&gt;введение!C$11,введение!C$11,IF((D21-O21)&lt;=введение!C$11,D21-O21,0)))</f>
        <v>0</v>
      </c>
      <c r="F21" s="145"/>
      <c r="G21" s="145"/>
      <c r="H21" s="148"/>
      <c r="I21" s="132">
        <f t="shared" si="0"/>
        <v>0</v>
      </c>
      <c r="J21" s="147">
        <f>IF(C21=0,0,IF(C21&gt;1,0,IF(D21&lt;=введение!C$20*25,I21/100,I21/10)))</f>
        <v>0</v>
      </c>
      <c r="K21" s="147">
        <f>IF(C21=0,0,IF(C21=1,0,IF(C21=3,I21/10,IF(C21=2,IF(D21&lt;=введение!C$20*25,I21/100,I21/10)))))</f>
        <v>0</v>
      </c>
      <c r="L21" s="92"/>
      <c r="M21" s="21">
        <f t="shared" si="1"/>
        <v>0</v>
      </c>
      <c r="N21" s="92"/>
      <c r="O21" s="21">
        <f t="shared" si="2"/>
        <v>0</v>
      </c>
      <c r="P21" s="92"/>
      <c r="Q21" s="21">
        <f t="shared" si="3"/>
        <v>0</v>
      </c>
      <c r="R21" s="21">
        <f>IF(OR(Q21&lt;=0,),0,MIN(MAX(введение!$C$11,Q21),введение!$C$14))</f>
        <v>0</v>
      </c>
      <c r="S21" s="21">
        <f>ROUND(R21*введение!C$15,0)</f>
        <v>0</v>
      </c>
      <c r="T21" s="92"/>
      <c r="U21" s="21">
        <f t="shared" si="4"/>
        <v>0</v>
      </c>
      <c r="V21" s="21">
        <f t="shared" si="5"/>
        <v>0</v>
      </c>
      <c r="W21" s="92"/>
      <c r="X21" s="128">
        <f>IF(C21=3,0,IF(D21&lt;=введение!C$20*25,I21*90/100,0))</f>
        <v>0</v>
      </c>
      <c r="Y21" s="132">
        <f t="shared" si="6"/>
        <v>0</v>
      </c>
      <c r="Z21" s="132">
        <f>IF(OR(Y21&lt;=0,),0,MIN(MIN(введение!$C$17,Y21),введение!$C$17))</f>
        <v>0</v>
      </c>
      <c r="AA21" s="132">
        <f>Z21*введение!C$18</f>
        <v>0</v>
      </c>
      <c r="AB21" s="132">
        <f>Z21*введение!C$22</f>
        <v>0</v>
      </c>
      <c r="AC21" s="132"/>
    </row>
    <row r="22" spans="1:29" x14ac:dyDescent="0.25">
      <c r="A22" s="91">
        <v>9</v>
      </c>
      <c r="B22" s="91"/>
      <c r="C22" s="91"/>
      <c r="D22" s="91"/>
      <c r="E22" s="100">
        <f>IF(C22=3,0,IF((D22-O22)&gt;введение!C$11,введение!C$11,IF((D22-O22)&lt;=введение!C$11,D22-O22,0)))</f>
        <v>0</v>
      </c>
      <c r="F22" s="145"/>
      <c r="G22" s="145"/>
      <c r="H22" s="148"/>
      <c r="I22" s="132">
        <f t="shared" si="0"/>
        <v>0</v>
      </c>
      <c r="J22" s="147">
        <f>IF(C22=0,0,IF(C22&gt;1,0,IF(D22&lt;=введение!C$20*25,I22/100,I22/10)))</f>
        <v>0</v>
      </c>
      <c r="K22" s="147">
        <f>IF(C22=0,0,IF(C22=1,0,IF(C22=3,I22/10,IF(C22=2,IF(D22&lt;=введение!C$20*25,I22/100,I22/10)))))</f>
        <v>0</v>
      </c>
      <c r="L22" s="92"/>
      <c r="M22" s="21">
        <f t="shared" si="1"/>
        <v>0</v>
      </c>
      <c r="N22" s="92"/>
      <c r="O22" s="21">
        <f t="shared" si="2"/>
        <v>0</v>
      </c>
      <c r="P22" s="92"/>
      <c r="Q22" s="21">
        <f t="shared" si="3"/>
        <v>0</v>
      </c>
      <c r="R22" s="21">
        <f>IF(OR(Q22&lt;=0,),0,MIN(MAX(введение!$C$11,Q22),введение!$C$14))</f>
        <v>0</v>
      </c>
      <c r="S22" s="21">
        <f>ROUND(R22*введение!C$15,0)</f>
        <v>0</v>
      </c>
      <c r="T22" s="92"/>
      <c r="U22" s="21">
        <f t="shared" si="4"/>
        <v>0</v>
      </c>
      <c r="V22" s="21">
        <f t="shared" si="5"/>
        <v>0</v>
      </c>
      <c r="W22" s="92"/>
      <c r="X22" s="128">
        <f>IF(C22=3,0,IF(D22&lt;=введение!C$20*25,I22*90/100,0))</f>
        <v>0</v>
      </c>
      <c r="Y22" s="132">
        <f t="shared" si="6"/>
        <v>0</v>
      </c>
      <c r="Z22" s="132">
        <f>IF(OR(Y22&lt;=0,),0,MIN(MIN(введение!$C$17,Y22),введение!$C$17))</f>
        <v>0</v>
      </c>
      <c r="AA22" s="132">
        <f>Z22*введение!C$18</f>
        <v>0</v>
      </c>
      <c r="AB22" s="132">
        <f>Z22*введение!C$22</f>
        <v>0</v>
      </c>
      <c r="AC22" s="132"/>
    </row>
    <row r="23" spans="1:29" x14ac:dyDescent="0.25">
      <c r="A23" s="91">
        <v>10</v>
      </c>
      <c r="B23" s="91"/>
      <c r="C23" s="91"/>
      <c r="D23" s="91"/>
      <c r="E23" s="100">
        <f>IF(C23=3,0,IF((D23-O23)&gt;введение!C$11,введение!C$11,IF((D23-O23)&lt;=введение!C$11,D23-O23,0)))</f>
        <v>0</v>
      </c>
      <c r="F23" s="145"/>
      <c r="G23" s="145"/>
      <c r="H23" s="148"/>
      <c r="I23" s="132">
        <f t="shared" si="0"/>
        <v>0</v>
      </c>
      <c r="J23" s="147">
        <f>IF(C23=0,0,IF(C23&gt;1,0,IF(D23&lt;=введение!C$20*25,I23/100,I23/10)))</f>
        <v>0</v>
      </c>
      <c r="K23" s="147">
        <f>IF(C23=0,0,IF(C23=1,0,IF(C23=3,I23/10,IF(C23=2,IF(D23&lt;=введение!C$20*25,I23/100,I23/10)))))</f>
        <v>0</v>
      </c>
      <c r="L23" s="92"/>
      <c r="M23" s="21">
        <f t="shared" si="1"/>
        <v>0</v>
      </c>
      <c r="N23" s="92"/>
      <c r="O23" s="21">
        <f t="shared" si="2"/>
        <v>0</v>
      </c>
      <c r="P23" s="92"/>
      <c r="Q23" s="21">
        <f t="shared" si="3"/>
        <v>0</v>
      </c>
      <c r="R23" s="21">
        <f>IF(OR(Q23&lt;=0,),0,MIN(MAX(введение!$C$11,Q23),введение!$C$14))</f>
        <v>0</v>
      </c>
      <c r="S23" s="21">
        <f>ROUND(R23*введение!C$15,0)</f>
        <v>0</v>
      </c>
      <c r="T23" s="92"/>
      <c r="U23" s="21">
        <f t="shared" si="4"/>
        <v>0</v>
      </c>
      <c r="V23" s="21">
        <f t="shared" si="5"/>
        <v>0</v>
      </c>
      <c r="W23" s="92"/>
      <c r="X23" s="128">
        <f>IF(C23=3,0,IF(D23&lt;=введение!C$20*25,I23*90/100,0))</f>
        <v>0</v>
      </c>
      <c r="Y23" s="132">
        <f t="shared" si="6"/>
        <v>0</v>
      </c>
      <c r="Z23" s="132">
        <f>IF(OR(Y23&lt;=0,),0,MIN(MIN(введение!$C$17,Y23),введение!$C$17))</f>
        <v>0</v>
      </c>
      <c r="AA23" s="132">
        <f>Z23*введение!C$18</f>
        <v>0</v>
      </c>
      <c r="AB23" s="132">
        <f>Z23*введение!C$22</f>
        <v>0</v>
      </c>
      <c r="AC23" s="132"/>
    </row>
    <row r="24" spans="1:29" x14ac:dyDescent="0.25">
      <c r="A24" s="91">
        <v>11</v>
      </c>
      <c r="B24" s="91"/>
      <c r="C24" s="91"/>
      <c r="D24" s="91"/>
      <c r="E24" s="100">
        <f>IF(C24=3,0,IF((D24-O24)&gt;введение!C$11,введение!C$11,IF((D24-O24)&lt;=введение!C$11,D24-O24,0)))</f>
        <v>0</v>
      </c>
      <c r="F24" s="145"/>
      <c r="G24" s="145"/>
      <c r="H24" s="148"/>
      <c r="I24" s="132">
        <f t="shared" si="0"/>
        <v>0</v>
      </c>
      <c r="J24" s="147">
        <f>IF(C24=0,0,IF(C24&gt;1,0,IF(D24&lt;=введение!C$20*25,I24/100,I24/10)))</f>
        <v>0</v>
      </c>
      <c r="K24" s="147">
        <f>IF(C24=0,0,IF(C24=1,0,IF(C24=3,I24/10,IF(C24=2,IF(D24&lt;=введение!C$20*25,I24/100,I24/10)))))</f>
        <v>0</v>
      </c>
      <c r="L24" s="92"/>
      <c r="M24" s="21">
        <f t="shared" si="1"/>
        <v>0</v>
      </c>
      <c r="N24" s="92"/>
      <c r="O24" s="21">
        <f t="shared" si="2"/>
        <v>0</v>
      </c>
      <c r="P24" s="92"/>
      <c r="Q24" s="21">
        <f t="shared" si="3"/>
        <v>0</v>
      </c>
      <c r="R24" s="21">
        <f>IF(OR(Q24&lt;=0,),0,MIN(MAX(введение!$C$11,Q24),введение!$C$14))</f>
        <v>0</v>
      </c>
      <c r="S24" s="21">
        <f>ROUND(R24*введение!C$15,0)</f>
        <v>0</v>
      </c>
      <c r="T24" s="92"/>
      <c r="U24" s="21">
        <f t="shared" si="4"/>
        <v>0</v>
      </c>
      <c r="V24" s="21">
        <f t="shared" si="5"/>
        <v>0</v>
      </c>
      <c r="W24" s="92"/>
      <c r="X24" s="128">
        <f>IF(C24=3,0,IF(D24&lt;=введение!C$20*25,I24*90/100,0))</f>
        <v>0</v>
      </c>
      <c r="Y24" s="132">
        <f t="shared" si="6"/>
        <v>0</v>
      </c>
      <c r="Z24" s="132">
        <f>IF(OR(Y24&lt;=0,),0,MIN(MIN(введение!$C$17,Y24),введение!$C$17))</f>
        <v>0</v>
      </c>
      <c r="AA24" s="132">
        <f>Z24*введение!C$18</f>
        <v>0</v>
      </c>
      <c r="AB24" s="132">
        <f>Z24*введение!C$22</f>
        <v>0</v>
      </c>
      <c r="AC24" s="132"/>
    </row>
    <row r="25" spans="1:29" x14ac:dyDescent="0.25">
      <c r="A25" s="91">
        <v>12</v>
      </c>
      <c r="B25" s="91"/>
      <c r="C25" s="91"/>
      <c r="D25" s="91"/>
      <c r="E25" s="100">
        <f>IF(C25=3,0,IF((D25-O25)&gt;введение!C$11,введение!C$11,IF((D25-O25)&lt;=введение!C$11,D25-O25,0)))</f>
        <v>0</v>
      </c>
      <c r="F25" s="145"/>
      <c r="G25" s="145"/>
      <c r="H25" s="148"/>
      <c r="I25" s="132">
        <f t="shared" si="0"/>
        <v>0</v>
      </c>
      <c r="J25" s="147">
        <f>IF(C25=0,0,IF(C25&gt;1,0,IF(D25&lt;=введение!C$20*25,I25/100,I25/10)))</f>
        <v>0</v>
      </c>
      <c r="K25" s="147">
        <f>IF(C25=0,0,IF(C25=1,0,IF(C25=3,I25/10,IF(C25=2,IF(D25&lt;=введение!C$20*25,I25/100,I25/10)))))</f>
        <v>0</v>
      </c>
      <c r="L25" s="92"/>
      <c r="M25" s="21">
        <f t="shared" si="1"/>
        <v>0</v>
      </c>
      <c r="N25" s="92"/>
      <c r="O25" s="21">
        <f t="shared" si="2"/>
        <v>0</v>
      </c>
      <c r="P25" s="92"/>
      <c r="Q25" s="21">
        <f t="shared" si="3"/>
        <v>0</v>
      </c>
      <c r="R25" s="21">
        <f>IF(OR(Q25&lt;=0,),0,MIN(MAX(введение!$C$11,Q25),введение!$C$14))</f>
        <v>0</v>
      </c>
      <c r="S25" s="21">
        <f>ROUND(R25*введение!C$15,0)</f>
        <v>0</v>
      </c>
      <c r="T25" s="92"/>
      <c r="U25" s="21">
        <f t="shared" si="4"/>
        <v>0</v>
      </c>
      <c r="V25" s="21">
        <f t="shared" si="5"/>
        <v>0</v>
      </c>
      <c r="W25" s="92"/>
      <c r="X25" s="128">
        <f>IF(C25=3,0,IF(D25&lt;=введение!C$20*25,I25*90/100,0))</f>
        <v>0</v>
      </c>
      <c r="Y25" s="132">
        <f t="shared" si="6"/>
        <v>0</v>
      </c>
      <c r="Z25" s="132">
        <f>IF(OR(Y25&lt;=0,),0,MIN(MIN(введение!$C$17,Y25),введение!$C$17))</f>
        <v>0</v>
      </c>
      <c r="AA25" s="132">
        <f>Z25*введение!C$18</f>
        <v>0</v>
      </c>
      <c r="AB25" s="132">
        <f>Z25*введение!C$22</f>
        <v>0</v>
      </c>
      <c r="AC25" s="132"/>
    </row>
    <row r="26" spans="1:29" x14ac:dyDescent="0.25">
      <c r="A26" s="316" t="s">
        <v>73</v>
      </c>
      <c r="B26" s="317"/>
      <c r="C26" s="87"/>
      <c r="D26" s="22">
        <f>SUM(D14:D25)</f>
        <v>0</v>
      </c>
      <c r="E26" s="22">
        <f t="shared" ref="E26:U26" si="7">SUM(E14:E25)</f>
        <v>0</v>
      </c>
      <c r="F26" s="133">
        <f t="shared" si="7"/>
        <v>0</v>
      </c>
      <c r="G26" s="133">
        <f t="shared" si="7"/>
        <v>0</v>
      </c>
      <c r="H26" s="133">
        <f t="shared" si="7"/>
        <v>0</v>
      </c>
      <c r="I26" s="133">
        <f t="shared" si="7"/>
        <v>0</v>
      </c>
      <c r="J26" s="133">
        <f t="shared" si="7"/>
        <v>0</v>
      </c>
      <c r="K26" s="133">
        <f t="shared" si="7"/>
        <v>0</v>
      </c>
      <c r="L26" s="22">
        <f t="shared" si="7"/>
        <v>0</v>
      </c>
      <c r="M26" s="22">
        <f t="shared" si="7"/>
        <v>0</v>
      </c>
      <c r="N26" s="22">
        <f>SUM(N14:N25)</f>
        <v>0</v>
      </c>
      <c r="O26" s="22">
        <f>SUM(O14:O25)</f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>SUM(S14:S25)</f>
        <v>0</v>
      </c>
      <c r="T26" s="22">
        <f t="shared" si="7"/>
        <v>0</v>
      </c>
      <c r="U26" s="22">
        <f t="shared" si="7"/>
        <v>0</v>
      </c>
      <c r="V26" s="22">
        <f t="shared" ref="V26:AB26" si="8">SUM(V14:V25)</f>
        <v>0</v>
      </c>
      <c r="W26" s="22">
        <f t="shared" si="8"/>
        <v>0</v>
      </c>
      <c r="X26" s="133">
        <f t="shared" si="8"/>
        <v>0</v>
      </c>
      <c r="Y26" s="133">
        <f t="shared" si="8"/>
        <v>0</v>
      </c>
      <c r="Z26" s="133">
        <f t="shared" si="8"/>
        <v>0</v>
      </c>
      <c r="AA26" s="133">
        <f t="shared" si="8"/>
        <v>0</v>
      </c>
      <c r="AB26" s="133">
        <f t="shared" si="8"/>
        <v>0</v>
      </c>
      <c r="AC26" s="134">
        <f>IF(D26&gt;0,D26/V26,0)</f>
        <v>0</v>
      </c>
    </row>
    <row r="27" spans="1:29" x14ac:dyDescent="0.25">
      <c r="A27" s="42"/>
      <c r="B27" s="42"/>
      <c r="C27" s="43"/>
      <c r="D27" s="43"/>
    </row>
    <row r="28" spans="1:29" x14ac:dyDescent="0.25">
      <c r="A28" s="44" t="s">
        <v>62</v>
      </c>
      <c r="B28" s="37"/>
      <c r="C28"/>
      <c r="D28"/>
    </row>
    <row r="29" spans="1:29" x14ac:dyDescent="0.25">
      <c r="A29" s="37"/>
      <c r="B29" s="37"/>
      <c r="C29"/>
      <c r="D29"/>
    </row>
    <row r="30" spans="1:29" x14ac:dyDescent="0.25">
      <c r="A30" s="42"/>
      <c r="B30" s="42"/>
      <c r="C30" s="43"/>
      <c r="D30" s="43"/>
    </row>
    <row r="31" spans="1:29" x14ac:dyDescent="0.25">
      <c r="A31" s="44" t="s">
        <v>63</v>
      </c>
      <c r="B31" s="37"/>
      <c r="C31"/>
      <c r="D31"/>
    </row>
    <row r="32" spans="1:29" x14ac:dyDescent="0.25">
      <c r="A32" s="37"/>
      <c r="B32" s="37"/>
      <c r="C32"/>
      <c r="D32"/>
    </row>
    <row r="33" spans="1:4" x14ac:dyDescent="0.25">
      <c r="A33" s="42"/>
      <c r="B33" s="42"/>
      <c r="C33" s="43"/>
      <c r="D33" s="43"/>
    </row>
    <row r="34" spans="1:4" x14ac:dyDescent="0.25">
      <c r="A34" s="44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2"/>
      <c r="B36" s="42"/>
      <c r="C36" s="43"/>
      <c r="D36"/>
    </row>
    <row r="37" spans="1:4" x14ac:dyDescent="0.25">
      <c r="A37" s="44" t="s">
        <v>64</v>
      </c>
      <c r="B37" s="37"/>
      <c r="C37"/>
      <c r="D37"/>
    </row>
    <row r="38" spans="1:4" x14ac:dyDescent="0.25">
      <c r="A38" s="49"/>
      <c r="B38" s="49"/>
      <c r="C38" s="49"/>
      <c r="D38" s="49"/>
    </row>
  </sheetData>
  <mergeCells count="2">
    <mergeCell ref="A10:H10"/>
    <mergeCell ref="A26:B26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C38"/>
  <sheetViews>
    <sheetView topLeftCell="A13" workbookViewId="0">
      <selection activeCell="G17" sqref="G17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8" width="8.7109375" style="17"/>
    <col min="9" max="9" width="11" style="17" customWidth="1"/>
    <col min="10" max="10" width="9.5703125" style="17" customWidth="1"/>
    <col min="11" max="11" width="10" style="17" customWidth="1"/>
    <col min="12" max="12" width="12.5703125" style="17" customWidth="1"/>
    <col min="13" max="13" width="8.7109375" style="17"/>
    <col min="14" max="14" width="10.42578125" style="17" customWidth="1"/>
    <col min="15" max="15" width="13.7109375" style="17" customWidth="1"/>
    <col min="16" max="16" width="15.42578125" style="17" customWidth="1"/>
    <col min="17" max="17" width="16" style="17" customWidth="1"/>
    <col min="18" max="18" width="19.7109375" style="17" customWidth="1"/>
    <col min="19" max="19" width="13" style="17" customWidth="1"/>
    <col min="20" max="23" width="8.7109375" style="17"/>
    <col min="24" max="24" width="15" style="5" bestFit="1" customWidth="1"/>
    <col min="25" max="26" width="14.5703125" style="17" bestFit="1" customWidth="1"/>
    <col min="27" max="27" width="11.85546875" style="17" bestFit="1" customWidth="1"/>
    <col min="28" max="28" width="11.85546875" style="17" customWidth="1"/>
    <col min="29" max="29" width="13.28515625" style="17" bestFit="1" customWidth="1"/>
    <col min="30" max="16384" width="8.7109375" style="17"/>
  </cols>
  <sheetData>
    <row r="2" spans="1:29" x14ac:dyDescent="0.25">
      <c r="D2" s="18" t="s">
        <v>14</v>
      </c>
      <c r="K2" s="19"/>
    </row>
    <row r="3" spans="1:29" x14ac:dyDescent="0.25">
      <c r="A3" s="20"/>
      <c r="B3" s="20"/>
      <c r="C3" s="20"/>
      <c r="D3" s="20"/>
    </row>
    <row r="4" spans="1:29" x14ac:dyDescent="0.25">
      <c r="A4" s="56" t="s">
        <v>67</v>
      </c>
      <c r="B4" s="43"/>
      <c r="C4" s="56"/>
      <c r="D4" s="56"/>
    </row>
    <row r="5" spans="1:29" x14ac:dyDescent="0.25">
      <c r="A5" s="36"/>
      <c r="B5" s="36"/>
      <c r="C5" s="36"/>
      <c r="D5" s="36"/>
    </row>
    <row r="6" spans="1:29" x14ac:dyDescent="0.25">
      <c r="A6" s="36">
        <v>1</v>
      </c>
      <c r="B6" s="56" t="s">
        <v>68</v>
      </c>
      <c r="C6" s="56"/>
      <c r="D6" s="56"/>
    </row>
    <row r="7" spans="1:29" x14ac:dyDescent="0.25">
      <c r="A7" s="36">
        <v>2</v>
      </c>
      <c r="B7" s="57" t="s">
        <v>15</v>
      </c>
      <c r="C7" s="57"/>
      <c r="D7" s="74">
        <f>'№ 910 Декларация '!D8</f>
        <v>461040002572</v>
      </c>
    </row>
    <row r="8" spans="1:29" x14ac:dyDescent="0.25">
      <c r="A8" s="36">
        <v>3</v>
      </c>
      <c r="B8" s="56" t="s">
        <v>93</v>
      </c>
      <c r="C8" s="56"/>
      <c r="D8" s="56" t="str">
        <f>IF('№ 910 Декларация '!L12=1,"июнь","декабрь")</f>
        <v>июнь</v>
      </c>
      <c r="E8" s="17">
        <f>'№ 910 Декларация '!O12</f>
        <v>2020</v>
      </c>
    </row>
    <row r="9" spans="1:29" x14ac:dyDescent="0.25">
      <c r="A9" s="49"/>
      <c r="B9" s="49"/>
      <c r="C9" s="49"/>
      <c r="D9" s="49"/>
      <c r="E9" s="49"/>
      <c r="F9" s="49"/>
      <c r="G9" s="49"/>
    </row>
    <row r="10" spans="1:29" ht="43.5" customHeight="1" x14ac:dyDescent="0.25">
      <c r="A10" s="315" t="s">
        <v>176</v>
      </c>
      <c r="B10" s="315"/>
      <c r="C10" s="315"/>
      <c r="D10" s="315"/>
      <c r="E10" s="315"/>
      <c r="F10" s="315"/>
      <c r="G10" s="315"/>
      <c r="H10" s="315"/>
    </row>
    <row r="11" spans="1:29" x14ac:dyDescent="0.25">
      <c r="A11" s="49"/>
      <c r="B11" s="49"/>
      <c r="C11" s="49"/>
      <c r="D11" s="49"/>
      <c r="E11" s="49"/>
      <c r="F11" s="49"/>
      <c r="G11" s="49"/>
    </row>
    <row r="12" spans="1:29" x14ac:dyDescent="0.25">
      <c r="A12" s="49"/>
      <c r="B12" s="49"/>
      <c r="C12" s="49"/>
      <c r="D12" s="49"/>
      <c r="E12" s="49"/>
      <c r="F12" s="49"/>
      <c r="G12" s="49"/>
    </row>
    <row r="13" spans="1:29" ht="153" x14ac:dyDescent="0.25">
      <c r="A13" s="58" t="s">
        <v>69</v>
      </c>
      <c r="B13" s="58" t="s">
        <v>70</v>
      </c>
      <c r="C13" s="39" t="s">
        <v>133</v>
      </c>
      <c r="D13" s="58" t="s">
        <v>71</v>
      </c>
      <c r="E13" s="58" t="s">
        <v>72</v>
      </c>
      <c r="F13" s="39" t="s">
        <v>210</v>
      </c>
      <c r="G13" s="39" t="s">
        <v>209</v>
      </c>
      <c r="H13" s="58" t="s">
        <v>76</v>
      </c>
      <c r="I13" s="58" t="s">
        <v>77</v>
      </c>
      <c r="J13" s="39" t="s">
        <v>134</v>
      </c>
      <c r="K13" s="39" t="s">
        <v>135</v>
      </c>
      <c r="L13" s="58" t="s">
        <v>78</v>
      </c>
      <c r="M13" s="58" t="s">
        <v>79</v>
      </c>
      <c r="N13" s="58" t="s">
        <v>104</v>
      </c>
      <c r="O13" s="58" t="s">
        <v>80</v>
      </c>
      <c r="P13" s="58" t="s">
        <v>81</v>
      </c>
      <c r="Q13" s="58" t="s">
        <v>82</v>
      </c>
      <c r="R13" s="58" t="s">
        <v>83</v>
      </c>
      <c r="S13" s="58" t="s">
        <v>84</v>
      </c>
      <c r="T13" s="58" t="s">
        <v>94</v>
      </c>
      <c r="U13" s="58" t="s">
        <v>95</v>
      </c>
      <c r="V13" s="58" t="s">
        <v>96</v>
      </c>
      <c r="W13" s="39" t="s">
        <v>121</v>
      </c>
      <c r="X13" s="39" t="s">
        <v>188</v>
      </c>
      <c r="Y13" s="39" t="s">
        <v>187</v>
      </c>
      <c r="Z13" s="39" t="s">
        <v>122</v>
      </c>
      <c r="AA13" s="39" t="s">
        <v>124</v>
      </c>
      <c r="AB13" s="39" t="s">
        <v>206</v>
      </c>
      <c r="AC13" s="39" t="s">
        <v>129</v>
      </c>
    </row>
    <row r="14" spans="1:29" x14ac:dyDescent="0.25">
      <c r="A14" s="91">
        <v>1</v>
      </c>
      <c r="B14" s="91"/>
      <c r="C14" s="91"/>
      <c r="D14" s="145"/>
      <c r="E14" s="100">
        <f>IF(C14=3,0,IF((D14-O14)&gt;введение!C$11,введение!C$11,IF((D14-O14)&lt;=введение!C$11,D14-O14,0)))</f>
        <v>0</v>
      </c>
      <c r="F14" s="145"/>
      <c r="G14" s="145"/>
      <c r="H14" s="148"/>
      <c r="I14" s="132">
        <f>IF(C14=3,D14-H14,D14-H14-E14-O14-F14-G14)</f>
        <v>0</v>
      </c>
      <c r="J14" s="147">
        <f>IF(C14=0,0,IF(C14&gt;1,0,IF(D14&lt;=введение!C$20*25,I14/100,I14/10)))</f>
        <v>0</v>
      </c>
      <c r="K14" s="147">
        <f>IF(C14=0,0,IF(C14=1,0,IF(C14=3,I14/10,IF(C14=2,IF(D14&lt;=введение!C$20*25,I14/100,I14/10)))))</f>
        <v>0</v>
      </c>
      <c r="L14" s="92"/>
      <c r="M14" s="21">
        <f>IF(C14=3,0,IF(N14=1,0,D14-L14))</f>
        <v>0</v>
      </c>
      <c r="N14" s="92"/>
      <c r="O14" s="21">
        <f>M14*10%</f>
        <v>0</v>
      </c>
      <c r="P14" s="92"/>
      <c r="Q14" s="21">
        <f>IF(C14=3,0,IF(N14=1,0,D14-O14-P14))</f>
        <v>0</v>
      </c>
      <c r="R14" s="21">
        <f>IF(OR(Q14&lt;=0,),0,MIN(MAX(введение!$C$11,Q14),введение!$C$14))</f>
        <v>0</v>
      </c>
      <c r="S14" s="21">
        <f>ROUND(R14*введение!C$15,0)</f>
        <v>0</v>
      </c>
      <c r="T14" s="92"/>
      <c r="U14" s="21">
        <f>ROUND(T14*0.05,0)</f>
        <v>0</v>
      </c>
      <c r="V14" s="21">
        <f>IF(D14=0,0,1)</f>
        <v>0</v>
      </c>
      <c r="W14" s="92"/>
      <c r="X14" s="128">
        <f>IF(C14=3,0,IF(D14&lt;=введение!C$20*25,I14*90/100,0))</f>
        <v>0</v>
      </c>
      <c r="Y14" s="132">
        <f>IF(C14=3,0,IF(N14=1,0,D14-W14-X14))</f>
        <v>0</v>
      </c>
      <c r="Z14" s="132">
        <f>IF(OR(Y14&lt;=0,),0,MIN(MIN(введение!$C$17,Y14),введение!$C$17))</f>
        <v>0</v>
      </c>
      <c r="AA14" s="132">
        <f>Z14*введение!C$18</f>
        <v>0</v>
      </c>
      <c r="AB14" s="132">
        <f>Z14*введение!C$22</f>
        <v>0</v>
      </c>
      <c r="AC14" s="132"/>
    </row>
    <row r="15" spans="1:29" x14ac:dyDescent="0.25">
      <c r="A15" s="91">
        <v>2</v>
      </c>
      <c r="B15" s="91"/>
      <c r="C15" s="91"/>
      <c r="D15" s="145"/>
      <c r="E15" s="100">
        <f>IF(C15=3,0,IF((D15-O15)&gt;введение!C$11,введение!C$11,IF((D15-O15)&lt;=введение!C$11,D15-O15,0)))</f>
        <v>0</v>
      </c>
      <c r="F15" s="145"/>
      <c r="G15" s="145"/>
      <c r="H15" s="148"/>
      <c r="I15" s="132">
        <f t="shared" ref="I15:I25" si="0">IF(C15=3,D15-H15,D15-H15-E15-O15-F15-G15)</f>
        <v>0</v>
      </c>
      <c r="J15" s="147">
        <f>IF(C15=0,0,IF(C15&gt;1,0,IF(D15&lt;=введение!C$20*25,I15/100,I15/10)))</f>
        <v>0</v>
      </c>
      <c r="K15" s="147">
        <f>IF(C15=0,0,IF(C15=1,0,IF(C15=3,I15/10,IF(C15=2,IF(D15&lt;=введение!C$20*25,I15/100,I15/10)))))</f>
        <v>0</v>
      </c>
      <c r="L15" s="92"/>
      <c r="M15" s="21">
        <f t="shared" ref="M15:M25" si="1">IF(C15=3,0,IF(N15=1,0,D15-L15))</f>
        <v>0</v>
      </c>
      <c r="N15" s="92"/>
      <c r="O15" s="21">
        <f t="shared" ref="O15:O25" si="2">M15*10%</f>
        <v>0</v>
      </c>
      <c r="P15" s="92"/>
      <c r="Q15" s="21">
        <f t="shared" ref="Q15:Q25" si="3">IF(C15=3,0,IF(N15=1,0,D15-O15-P15))</f>
        <v>0</v>
      </c>
      <c r="R15" s="21">
        <f>IF(OR(Q15&lt;=0,),0,MIN(MAX(введение!$C$11,Q15),введение!$C$14))</f>
        <v>0</v>
      </c>
      <c r="S15" s="21">
        <f>ROUND(R15*введение!C$15,0)</f>
        <v>0</v>
      </c>
      <c r="T15" s="92"/>
      <c r="U15" s="21">
        <f t="shared" ref="U15:U25" si="4">ROUND(T15*0.05,0)</f>
        <v>0</v>
      </c>
      <c r="V15" s="21">
        <f t="shared" ref="V15:V25" si="5">IF(D15=0,0,1)</f>
        <v>0</v>
      </c>
      <c r="W15" s="92"/>
      <c r="X15" s="128">
        <f>IF(C15=3,0,IF(D15&lt;=введение!C$20*25,I15*90/100,0))</f>
        <v>0</v>
      </c>
      <c r="Y15" s="132">
        <f t="shared" ref="Y15:Y25" si="6">IF(C15=3,0,IF(N15=1,0,D15-W15-X15))</f>
        <v>0</v>
      </c>
      <c r="Z15" s="132">
        <f>IF(OR(Y15&lt;=0,),0,MIN(MIN(введение!$C$17,Y15),введение!$C$17))</f>
        <v>0</v>
      </c>
      <c r="AA15" s="132">
        <f>Z15*введение!C$18</f>
        <v>0</v>
      </c>
      <c r="AB15" s="132">
        <f>Z15*введение!C$22</f>
        <v>0</v>
      </c>
      <c r="AC15" s="132"/>
    </row>
    <row r="16" spans="1:29" x14ac:dyDescent="0.25">
      <c r="A16" s="91">
        <v>3</v>
      </c>
      <c r="B16" s="91"/>
      <c r="C16" s="91"/>
      <c r="D16" s="145"/>
      <c r="E16" s="100">
        <f>IF(C16=3,0,IF((D16-O16)&gt;введение!C$11,введение!C$11,IF((D16-O16)&lt;=введение!C$11,D16-O16,0)))</f>
        <v>0</v>
      </c>
      <c r="F16" s="145"/>
      <c r="G16" s="145"/>
      <c r="H16" s="148"/>
      <c r="I16" s="132">
        <f t="shared" si="0"/>
        <v>0</v>
      </c>
      <c r="J16" s="147">
        <f>IF(C16=0,0,IF(C16&gt;1,0,IF(D16&lt;=введение!C$20*25,I16/100,I16/10)))</f>
        <v>0</v>
      </c>
      <c r="K16" s="147">
        <f>IF(C16=0,0,IF(C16=1,0,IF(C16=3,I16/10,IF(C16=2,IF(D16&lt;=введение!C$20*25,I16/100,I16/10)))))</f>
        <v>0</v>
      </c>
      <c r="L16" s="92"/>
      <c r="M16" s="21">
        <f t="shared" si="1"/>
        <v>0</v>
      </c>
      <c r="N16" s="92"/>
      <c r="O16" s="21">
        <f t="shared" si="2"/>
        <v>0</v>
      </c>
      <c r="P16" s="92"/>
      <c r="Q16" s="21">
        <f t="shared" si="3"/>
        <v>0</v>
      </c>
      <c r="R16" s="21">
        <f>IF(OR(Q16&lt;=0,),0,MIN(MAX(введение!$C$11,Q16),введение!$C$14))</f>
        <v>0</v>
      </c>
      <c r="S16" s="21">
        <f>ROUND(R16*введение!C$15,0)</f>
        <v>0</v>
      </c>
      <c r="T16" s="92"/>
      <c r="U16" s="21">
        <f t="shared" si="4"/>
        <v>0</v>
      </c>
      <c r="V16" s="21">
        <f t="shared" si="5"/>
        <v>0</v>
      </c>
      <c r="W16" s="92"/>
      <c r="X16" s="128">
        <f>IF(C16=3,0,IF(D16&lt;=введение!C$20*25,I16*90/100,0))</f>
        <v>0</v>
      </c>
      <c r="Y16" s="132">
        <f t="shared" si="6"/>
        <v>0</v>
      </c>
      <c r="Z16" s="132">
        <f>IF(OR(Y16&lt;=0,),0,MIN(MIN(введение!$C$17,Y16),введение!$C$17))</f>
        <v>0</v>
      </c>
      <c r="AA16" s="132">
        <f>Z16*введение!C$18</f>
        <v>0</v>
      </c>
      <c r="AB16" s="132">
        <f>Z16*введение!C$22</f>
        <v>0</v>
      </c>
      <c r="AC16" s="132"/>
    </row>
    <row r="17" spans="1:29" x14ac:dyDescent="0.25">
      <c r="A17" s="91">
        <v>4</v>
      </c>
      <c r="B17" s="91"/>
      <c r="C17" s="91"/>
      <c r="D17" s="145"/>
      <c r="E17" s="100">
        <f>IF(C17=3,0,IF((D17-O17)&gt;введение!C$11,введение!C$11,IF((D17-O17)&lt;=введение!C$11,D17-O17,0)))</f>
        <v>0</v>
      </c>
      <c r="F17" s="145"/>
      <c r="G17" s="145"/>
      <c r="H17" s="148"/>
      <c r="I17" s="132">
        <f t="shared" si="0"/>
        <v>0</v>
      </c>
      <c r="J17" s="147">
        <f>IF(C17=0,0,IF(C17&gt;1,0,IF(D17&lt;=введение!C$20*25,I17/100,I17/10)))</f>
        <v>0</v>
      </c>
      <c r="K17" s="147">
        <f>IF(C17=0,0,IF(C17=1,0,IF(C17=3,I17/10,IF(C17=2,IF(D17&lt;=введение!C$20*25,I17/100,I17/10)))))</f>
        <v>0</v>
      </c>
      <c r="L17" s="92"/>
      <c r="M17" s="21">
        <f t="shared" si="1"/>
        <v>0</v>
      </c>
      <c r="N17" s="92"/>
      <c r="O17" s="21">
        <f t="shared" si="2"/>
        <v>0</v>
      </c>
      <c r="P17" s="92"/>
      <c r="Q17" s="21">
        <f t="shared" si="3"/>
        <v>0</v>
      </c>
      <c r="R17" s="21">
        <f>IF(OR(Q17&lt;=0,),0,MIN(MAX(введение!$C$11,Q17),введение!$C$14))</f>
        <v>0</v>
      </c>
      <c r="S17" s="21">
        <f>ROUND(R17*введение!C$15,0)</f>
        <v>0</v>
      </c>
      <c r="T17" s="92"/>
      <c r="U17" s="21">
        <f t="shared" si="4"/>
        <v>0</v>
      </c>
      <c r="V17" s="21">
        <f t="shared" si="5"/>
        <v>0</v>
      </c>
      <c r="W17" s="92"/>
      <c r="X17" s="128">
        <f>IF(C17=3,0,IF(D17&lt;=введение!C$20*25,I17*90/100,0))</f>
        <v>0</v>
      </c>
      <c r="Y17" s="132">
        <f t="shared" si="6"/>
        <v>0</v>
      </c>
      <c r="Z17" s="132">
        <f>IF(OR(Y17&lt;=0,),0,MIN(MIN(введение!$C$17,Y17),введение!$C$17))</f>
        <v>0</v>
      </c>
      <c r="AA17" s="132">
        <f>Z17*введение!C$18</f>
        <v>0</v>
      </c>
      <c r="AB17" s="132">
        <f>Z17*введение!C$22</f>
        <v>0</v>
      </c>
      <c r="AC17" s="132"/>
    </row>
    <row r="18" spans="1:29" x14ac:dyDescent="0.25">
      <c r="A18" s="91">
        <v>5</v>
      </c>
      <c r="B18" s="91"/>
      <c r="C18" s="91"/>
      <c r="D18" s="91"/>
      <c r="E18" s="100">
        <f>IF(C18=3,0,IF((D18-O18)&gt;введение!C$11,введение!C$11,IF((D18-O18)&lt;=введение!C$11,D18-O18,0)))</f>
        <v>0</v>
      </c>
      <c r="F18" s="145"/>
      <c r="G18" s="145"/>
      <c r="H18" s="148"/>
      <c r="I18" s="132">
        <f t="shared" si="0"/>
        <v>0</v>
      </c>
      <c r="J18" s="147">
        <f>IF(C18=0,0,IF(C18&gt;1,0,IF(D18&lt;=введение!C$20*25,I18/100,I18/10)))</f>
        <v>0</v>
      </c>
      <c r="K18" s="147">
        <f>IF(C18=0,0,IF(C18=1,0,IF(C18=3,I18/10,IF(C18=2,IF(D18&lt;=введение!C$20*25,I18/100,I18/10)))))</f>
        <v>0</v>
      </c>
      <c r="L18" s="92"/>
      <c r="M18" s="21">
        <f t="shared" si="1"/>
        <v>0</v>
      </c>
      <c r="N18" s="92"/>
      <c r="O18" s="21">
        <f t="shared" si="2"/>
        <v>0</v>
      </c>
      <c r="P18" s="92"/>
      <c r="Q18" s="21">
        <f t="shared" si="3"/>
        <v>0</v>
      </c>
      <c r="R18" s="21">
        <f>IF(OR(Q18&lt;=0,),0,MIN(MAX(введение!$C$11,Q18),введение!$C$14))</f>
        <v>0</v>
      </c>
      <c r="S18" s="21">
        <f>ROUND(R18*введение!C$15,0)</f>
        <v>0</v>
      </c>
      <c r="T18" s="92"/>
      <c r="U18" s="21">
        <f t="shared" si="4"/>
        <v>0</v>
      </c>
      <c r="V18" s="21">
        <f t="shared" si="5"/>
        <v>0</v>
      </c>
      <c r="W18" s="92"/>
      <c r="X18" s="128">
        <f>IF(C18=3,0,IF(D18&lt;=введение!C$20*25,I18*90/100,0))</f>
        <v>0</v>
      </c>
      <c r="Y18" s="132">
        <f t="shared" si="6"/>
        <v>0</v>
      </c>
      <c r="Z18" s="132">
        <f>IF(OR(Y18&lt;=0,),0,MIN(MIN(введение!$C$17,Y18),введение!$C$17))</f>
        <v>0</v>
      </c>
      <c r="AA18" s="132">
        <f>Z18*введение!C$18</f>
        <v>0</v>
      </c>
      <c r="AB18" s="132">
        <f>Z18*введение!C$22</f>
        <v>0</v>
      </c>
      <c r="AC18" s="132"/>
    </row>
    <row r="19" spans="1:29" x14ac:dyDescent="0.25">
      <c r="A19" s="91">
        <v>6</v>
      </c>
      <c r="B19" s="91"/>
      <c r="C19" s="91"/>
      <c r="D19" s="91"/>
      <c r="E19" s="100">
        <f>IF(C19=3,0,IF((D19-O19)&gt;введение!C$11,введение!C$11,IF((D19-O19)&lt;=введение!C$11,D19-O19,0)))</f>
        <v>0</v>
      </c>
      <c r="F19" s="145"/>
      <c r="G19" s="145"/>
      <c r="H19" s="148"/>
      <c r="I19" s="132">
        <f t="shared" si="0"/>
        <v>0</v>
      </c>
      <c r="J19" s="147">
        <f>IF(C19=0,0,IF(C19&gt;1,0,IF(D19&lt;=введение!C$20*25,I19/100,I19/10)))</f>
        <v>0</v>
      </c>
      <c r="K19" s="147">
        <f>IF(C19=0,0,IF(C19=1,0,IF(C19=3,I19/10,IF(C19=2,IF(D19&lt;=введение!C$20*25,I19/100,I19/10)))))</f>
        <v>0</v>
      </c>
      <c r="L19" s="92"/>
      <c r="M19" s="21">
        <f t="shared" si="1"/>
        <v>0</v>
      </c>
      <c r="N19" s="92"/>
      <c r="O19" s="21">
        <f t="shared" si="2"/>
        <v>0</v>
      </c>
      <c r="P19" s="92"/>
      <c r="Q19" s="21">
        <f t="shared" si="3"/>
        <v>0</v>
      </c>
      <c r="R19" s="21">
        <f>IF(OR(Q19&lt;=0,),0,MIN(MAX(введение!$C$11,Q19),введение!$C$14))</f>
        <v>0</v>
      </c>
      <c r="S19" s="21">
        <f>ROUND(R19*введение!C$15,0)</f>
        <v>0</v>
      </c>
      <c r="T19" s="92"/>
      <c r="U19" s="21">
        <f t="shared" si="4"/>
        <v>0</v>
      </c>
      <c r="V19" s="21">
        <f t="shared" si="5"/>
        <v>0</v>
      </c>
      <c r="W19" s="92"/>
      <c r="X19" s="128">
        <f>IF(C19=3,0,IF(D19&lt;=введение!C$20*25,I19*90/100,0))</f>
        <v>0</v>
      </c>
      <c r="Y19" s="132">
        <f t="shared" si="6"/>
        <v>0</v>
      </c>
      <c r="Z19" s="132">
        <f>IF(OR(Y19&lt;=0,),0,MIN(MIN(введение!$C$17,Y19),введение!$C$17))</f>
        <v>0</v>
      </c>
      <c r="AA19" s="132">
        <f>Z19*введение!C$18</f>
        <v>0</v>
      </c>
      <c r="AB19" s="132">
        <f>Z19*введение!C$22</f>
        <v>0</v>
      </c>
      <c r="AC19" s="132"/>
    </row>
    <row r="20" spans="1:29" x14ac:dyDescent="0.25">
      <c r="A20" s="91">
        <v>7</v>
      </c>
      <c r="B20" s="91"/>
      <c r="C20" s="91"/>
      <c r="D20" s="91"/>
      <c r="E20" s="100">
        <f>IF(C20=3,0,IF((D20-O20)&gt;введение!C$11,введение!C$11,IF((D20-O20)&lt;=введение!C$11,D20-O20,0)))</f>
        <v>0</v>
      </c>
      <c r="F20" s="145"/>
      <c r="G20" s="145"/>
      <c r="H20" s="148"/>
      <c r="I20" s="132">
        <f t="shared" si="0"/>
        <v>0</v>
      </c>
      <c r="J20" s="147">
        <f>IF(C20=0,0,IF(C20&gt;1,0,IF(D20&lt;=введение!C$20*25,I20/100,I20/10)))</f>
        <v>0</v>
      </c>
      <c r="K20" s="147">
        <f>IF(C20=0,0,IF(C20=1,0,IF(C20=3,I20/10,IF(C20=2,IF(D20&lt;=введение!C$20*25,I20/100,I20/10)))))</f>
        <v>0</v>
      </c>
      <c r="L20" s="92"/>
      <c r="M20" s="21">
        <f t="shared" si="1"/>
        <v>0</v>
      </c>
      <c r="N20" s="92"/>
      <c r="O20" s="21">
        <f t="shared" si="2"/>
        <v>0</v>
      </c>
      <c r="P20" s="92"/>
      <c r="Q20" s="21">
        <f t="shared" si="3"/>
        <v>0</v>
      </c>
      <c r="R20" s="21">
        <f>IF(OR(Q20&lt;=0,),0,MIN(MAX(введение!$C$11,Q20),введение!$C$14))</f>
        <v>0</v>
      </c>
      <c r="S20" s="21">
        <f>ROUND(R20*введение!C$15,0)</f>
        <v>0</v>
      </c>
      <c r="T20" s="92"/>
      <c r="U20" s="21">
        <f t="shared" si="4"/>
        <v>0</v>
      </c>
      <c r="V20" s="21">
        <f t="shared" si="5"/>
        <v>0</v>
      </c>
      <c r="W20" s="92"/>
      <c r="X20" s="128">
        <f>IF(C20=3,0,IF(D20&lt;=введение!C$20*25,I20*90/100,0))</f>
        <v>0</v>
      </c>
      <c r="Y20" s="132">
        <f t="shared" si="6"/>
        <v>0</v>
      </c>
      <c r="Z20" s="132">
        <f>IF(OR(Y20&lt;=0,),0,MIN(MIN(введение!$C$17,Y20),введение!$C$17))</f>
        <v>0</v>
      </c>
      <c r="AA20" s="132">
        <f>Z20*введение!C$18</f>
        <v>0</v>
      </c>
      <c r="AB20" s="132">
        <f>Z20*введение!C$22</f>
        <v>0</v>
      </c>
      <c r="AC20" s="132"/>
    </row>
    <row r="21" spans="1:29" x14ac:dyDescent="0.25">
      <c r="A21" s="91">
        <v>8</v>
      </c>
      <c r="B21" s="91"/>
      <c r="C21" s="91"/>
      <c r="D21" s="91"/>
      <c r="E21" s="100">
        <f>IF(C21=3,0,IF((D21-O21)&gt;введение!C$11,введение!C$11,IF((D21-O21)&lt;=введение!C$11,D21-O21,0)))</f>
        <v>0</v>
      </c>
      <c r="F21" s="145"/>
      <c r="G21" s="145"/>
      <c r="H21" s="148"/>
      <c r="I21" s="132">
        <f t="shared" si="0"/>
        <v>0</v>
      </c>
      <c r="J21" s="147">
        <f>IF(C21=0,0,IF(C21&gt;1,0,IF(D21&lt;=введение!C$20*25,I21/100,I21/10)))</f>
        <v>0</v>
      </c>
      <c r="K21" s="147">
        <f>IF(C21=0,0,IF(C21=1,0,IF(C21=3,I21/10,IF(C21=2,IF(D21&lt;=введение!C$20*25,I21/100,I21/10)))))</f>
        <v>0</v>
      </c>
      <c r="L21" s="92"/>
      <c r="M21" s="21">
        <f t="shared" si="1"/>
        <v>0</v>
      </c>
      <c r="N21" s="92"/>
      <c r="O21" s="21">
        <f t="shared" si="2"/>
        <v>0</v>
      </c>
      <c r="P21" s="92"/>
      <c r="Q21" s="21">
        <f t="shared" si="3"/>
        <v>0</v>
      </c>
      <c r="R21" s="21">
        <f>IF(OR(Q21&lt;=0,),0,MIN(MAX(введение!$C$11,Q21),введение!$C$14))</f>
        <v>0</v>
      </c>
      <c r="S21" s="21">
        <f>ROUND(R21*введение!C$15,0)</f>
        <v>0</v>
      </c>
      <c r="T21" s="92"/>
      <c r="U21" s="21">
        <f t="shared" si="4"/>
        <v>0</v>
      </c>
      <c r="V21" s="21">
        <f t="shared" si="5"/>
        <v>0</v>
      </c>
      <c r="W21" s="92"/>
      <c r="X21" s="128">
        <f>IF(C21=3,0,IF(D21&lt;=введение!C$20*25,I21*90/100,0))</f>
        <v>0</v>
      </c>
      <c r="Y21" s="132">
        <f t="shared" si="6"/>
        <v>0</v>
      </c>
      <c r="Z21" s="132">
        <f>IF(OR(Y21&lt;=0,),0,MIN(MIN(введение!$C$17,Y21),введение!$C$17))</f>
        <v>0</v>
      </c>
      <c r="AA21" s="132">
        <f>Z21*введение!C$18</f>
        <v>0</v>
      </c>
      <c r="AB21" s="132">
        <f>Z21*введение!C$22</f>
        <v>0</v>
      </c>
      <c r="AC21" s="132"/>
    </row>
    <row r="22" spans="1:29" x14ac:dyDescent="0.25">
      <c r="A22" s="91">
        <v>9</v>
      </c>
      <c r="B22" s="91"/>
      <c r="C22" s="91"/>
      <c r="D22" s="91"/>
      <c r="E22" s="100">
        <f>IF(C22=3,0,IF((D22-O22)&gt;введение!C$11,введение!C$11,IF((D22-O22)&lt;=введение!C$11,D22-O22,0)))</f>
        <v>0</v>
      </c>
      <c r="F22" s="145"/>
      <c r="G22" s="145"/>
      <c r="H22" s="148"/>
      <c r="I22" s="132">
        <f t="shared" si="0"/>
        <v>0</v>
      </c>
      <c r="J22" s="147">
        <f>IF(C22=0,0,IF(C22&gt;1,0,IF(D22&lt;=введение!C$20*25,I22/100,I22/10)))</f>
        <v>0</v>
      </c>
      <c r="K22" s="147">
        <f>IF(C22=0,0,IF(C22=1,0,IF(C22=3,I22/10,IF(C22=2,IF(D22&lt;=введение!C$20*25,I22/100,I22/10)))))</f>
        <v>0</v>
      </c>
      <c r="L22" s="92"/>
      <c r="M22" s="21">
        <f t="shared" si="1"/>
        <v>0</v>
      </c>
      <c r="N22" s="92"/>
      <c r="O22" s="21">
        <f t="shared" si="2"/>
        <v>0</v>
      </c>
      <c r="P22" s="92"/>
      <c r="Q22" s="21">
        <f t="shared" si="3"/>
        <v>0</v>
      </c>
      <c r="R22" s="21">
        <f>IF(OR(Q22&lt;=0,),0,MIN(MAX(введение!$C$11,Q22),введение!$C$14))</f>
        <v>0</v>
      </c>
      <c r="S22" s="21">
        <f>ROUND(R22*введение!C$15,0)</f>
        <v>0</v>
      </c>
      <c r="T22" s="92"/>
      <c r="U22" s="21">
        <f t="shared" si="4"/>
        <v>0</v>
      </c>
      <c r="V22" s="21">
        <f t="shared" si="5"/>
        <v>0</v>
      </c>
      <c r="W22" s="92"/>
      <c r="X22" s="128">
        <f>IF(C22=3,0,IF(D22&lt;=введение!C$20*25,I22*90/100,0))</f>
        <v>0</v>
      </c>
      <c r="Y22" s="132">
        <f t="shared" si="6"/>
        <v>0</v>
      </c>
      <c r="Z22" s="132">
        <f>IF(OR(Y22&lt;=0,),0,MIN(MIN(введение!$C$17,Y22),введение!$C$17))</f>
        <v>0</v>
      </c>
      <c r="AA22" s="132">
        <f>Z22*введение!C$18</f>
        <v>0</v>
      </c>
      <c r="AB22" s="132">
        <f>Z22*введение!C$22</f>
        <v>0</v>
      </c>
      <c r="AC22" s="132"/>
    </row>
    <row r="23" spans="1:29" x14ac:dyDescent="0.25">
      <c r="A23" s="91">
        <v>10</v>
      </c>
      <c r="B23" s="91"/>
      <c r="C23" s="91"/>
      <c r="D23" s="91"/>
      <c r="E23" s="100">
        <f>IF(C23=3,0,IF((D23-O23)&gt;введение!C$11,введение!C$11,IF((D23-O23)&lt;=введение!C$11,D23-O23,0)))</f>
        <v>0</v>
      </c>
      <c r="F23" s="145"/>
      <c r="G23" s="145"/>
      <c r="H23" s="148"/>
      <c r="I23" s="132">
        <f t="shared" si="0"/>
        <v>0</v>
      </c>
      <c r="J23" s="147">
        <f>IF(C23=0,0,IF(C23&gt;1,0,IF(D23&lt;=введение!C$20*25,I23/100,I23/10)))</f>
        <v>0</v>
      </c>
      <c r="K23" s="147">
        <f>IF(C23=0,0,IF(C23=1,0,IF(C23=3,I23/10,IF(C23=2,IF(D23&lt;=введение!C$20*25,I23/100,I23/10)))))</f>
        <v>0</v>
      </c>
      <c r="L23" s="92"/>
      <c r="M23" s="21">
        <f t="shared" si="1"/>
        <v>0</v>
      </c>
      <c r="N23" s="92"/>
      <c r="O23" s="21">
        <f t="shared" si="2"/>
        <v>0</v>
      </c>
      <c r="P23" s="92"/>
      <c r="Q23" s="21">
        <f t="shared" si="3"/>
        <v>0</v>
      </c>
      <c r="R23" s="21">
        <f>IF(OR(Q23&lt;=0,),0,MIN(MAX(введение!$C$11,Q23),введение!$C$14))</f>
        <v>0</v>
      </c>
      <c r="S23" s="21">
        <f>ROUND(R23*введение!C$15,0)</f>
        <v>0</v>
      </c>
      <c r="T23" s="92"/>
      <c r="U23" s="21">
        <f t="shared" si="4"/>
        <v>0</v>
      </c>
      <c r="V23" s="21">
        <f t="shared" si="5"/>
        <v>0</v>
      </c>
      <c r="W23" s="92"/>
      <c r="X23" s="128">
        <f>IF(C23=3,0,IF(D23&lt;=введение!C$20*25,I23*90/100,0))</f>
        <v>0</v>
      </c>
      <c r="Y23" s="132">
        <f t="shared" si="6"/>
        <v>0</v>
      </c>
      <c r="Z23" s="132">
        <f>IF(OR(Y23&lt;=0,),0,MIN(MIN(введение!$C$17,Y23),введение!$C$17))</f>
        <v>0</v>
      </c>
      <c r="AA23" s="132">
        <f>Z23*введение!C$18</f>
        <v>0</v>
      </c>
      <c r="AB23" s="132">
        <f>Z23*введение!C$22</f>
        <v>0</v>
      </c>
      <c r="AC23" s="132"/>
    </row>
    <row r="24" spans="1:29" x14ac:dyDescent="0.25">
      <c r="A24" s="91">
        <v>11</v>
      </c>
      <c r="B24" s="91"/>
      <c r="C24" s="91"/>
      <c r="D24" s="91"/>
      <c r="E24" s="100">
        <f>IF(C24=3,0,IF((D24-O24)&gt;введение!C$11,введение!C$11,IF((D24-O24)&lt;=введение!C$11,D24-O24,0)))</f>
        <v>0</v>
      </c>
      <c r="F24" s="145"/>
      <c r="G24" s="145"/>
      <c r="H24" s="148"/>
      <c r="I24" s="132">
        <f t="shared" si="0"/>
        <v>0</v>
      </c>
      <c r="J24" s="147">
        <f>IF(C24=0,0,IF(C24&gt;1,0,IF(D24&lt;=введение!C$20*25,I24/100,I24/10)))</f>
        <v>0</v>
      </c>
      <c r="K24" s="147">
        <f>IF(C24=0,0,IF(C24=1,0,IF(C24=3,I24/10,IF(C24=2,IF(D24&lt;=введение!C$20*25,I24/100,I24/10)))))</f>
        <v>0</v>
      </c>
      <c r="L24" s="92"/>
      <c r="M24" s="21">
        <f t="shared" si="1"/>
        <v>0</v>
      </c>
      <c r="N24" s="92"/>
      <c r="O24" s="21">
        <f t="shared" si="2"/>
        <v>0</v>
      </c>
      <c r="P24" s="92"/>
      <c r="Q24" s="21">
        <f t="shared" si="3"/>
        <v>0</v>
      </c>
      <c r="R24" s="21">
        <f>IF(OR(Q24&lt;=0,),0,MIN(MAX(введение!$C$11,Q24),введение!$C$14))</f>
        <v>0</v>
      </c>
      <c r="S24" s="21">
        <f>ROUND(R24*введение!C$15,0)</f>
        <v>0</v>
      </c>
      <c r="T24" s="92"/>
      <c r="U24" s="21">
        <f t="shared" si="4"/>
        <v>0</v>
      </c>
      <c r="V24" s="21">
        <f t="shared" si="5"/>
        <v>0</v>
      </c>
      <c r="W24" s="92"/>
      <c r="X24" s="128">
        <f>IF(C24=3,0,IF(D24&lt;=введение!C$20*25,I24*90/100,0))</f>
        <v>0</v>
      </c>
      <c r="Y24" s="132">
        <f t="shared" si="6"/>
        <v>0</v>
      </c>
      <c r="Z24" s="132">
        <f>IF(OR(Y24&lt;=0,),0,MIN(MIN(введение!$C$17,Y24),введение!$C$17))</f>
        <v>0</v>
      </c>
      <c r="AA24" s="132">
        <f>Z24*введение!C$18</f>
        <v>0</v>
      </c>
      <c r="AB24" s="132">
        <f>Z24*введение!C$22</f>
        <v>0</v>
      </c>
      <c r="AC24" s="132"/>
    </row>
    <row r="25" spans="1:29" x14ac:dyDescent="0.25">
      <c r="A25" s="91">
        <v>12</v>
      </c>
      <c r="B25" s="91"/>
      <c r="C25" s="91"/>
      <c r="D25" s="91"/>
      <c r="E25" s="100">
        <f>IF(C25=3,0,IF((D25-O25)&gt;введение!C$11,введение!C$11,IF((D25-O25)&lt;=введение!C$11,D25-O25,0)))</f>
        <v>0</v>
      </c>
      <c r="F25" s="145"/>
      <c r="G25" s="145"/>
      <c r="H25" s="148"/>
      <c r="I25" s="132">
        <f t="shared" si="0"/>
        <v>0</v>
      </c>
      <c r="J25" s="147">
        <f>IF(C25=0,0,IF(C25&gt;1,0,IF(D25&lt;=введение!C$20*25,I25/100,I25/10)))</f>
        <v>0</v>
      </c>
      <c r="K25" s="147">
        <f>IF(C25=0,0,IF(C25=1,0,IF(C25=3,I25/10,IF(C25=2,IF(D25&lt;=введение!C$20*25,I25/100,I25/10)))))</f>
        <v>0</v>
      </c>
      <c r="L25" s="92"/>
      <c r="M25" s="21">
        <f t="shared" si="1"/>
        <v>0</v>
      </c>
      <c r="N25" s="92"/>
      <c r="O25" s="21">
        <f t="shared" si="2"/>
        <v>0</v>
      </c>
      <c r="P25" s="92"/>
      <c r="Q25" s="21">
        <f t="shared" si="3"/>
        <v>0</v>
      </c>
      <c r="R25" s="21">
        <f>IF(OR(Q25&lt;=0,),0,MIN(MAX(введение!$C$11,Q25),введение!$C$14))</f>
        <v>0</v>
      </c>
      <c r="S25" s="21">
        <f>ROUND(R25*введение!C$15,0)</f>
        <v>0</v>
      </c>
      <c r="T25" s="92"/>
      <c r="U25" s="21">
        <f t="shared" si="4"/>
        <v>0</v>
      </c>
      <c r="V25" s="21">
        <f t="shared" si="5"/>
        <v>0</v>
      </c>
      <c r="W25" s="92"/>
      <c r="X25" s="128">
        <f>IF(C25=3,0,IF(D25&lt;=введение!C$20*25,I25*90/100,0))</f>
        <v>0</v>
      </c>
      <c r="Y25" s="132">
        <f t="shared" si="6"/>
        <v>0</v>
      </c>
      <c r="Z25" s="132">
        <f>IF(OR(Y25&lt;=0,),0,MIN(MIN(введение!$C$17,Y25),введение!$C$17))</f>
        <v>0</v>
      </c>
      <c r="AA25" s="132">
        <f>Z25*введение!C$18</f>
        <v>0</v>
      </c>
      <c r="AB25" s="132">
        <f>Z25*введение!C$22</f>
        <v>0</v>
      </c>
      <c r="AC25" s="132"/>
    </row>
    <row r="26" spans="1:29" x14ac:dyDescent="0.25">
      <c r="A26" s="316" t="s">
        <v>73</v>
      </c>
      <c r="B26" s="317"/>
      <c r="C26" s="87"/>
      <c r="D26" s="22">
        <f>SUM(D14:D25)</f>
        <v>0</v>
      </c>
      <c r="E26" s="22">
        <f t="shared" ref="E26:U26" si="7">SUM(E14:E25)</f>
        <v>0</v>
      </c>
      <c r="F26" s="133">
        <f t="shared" si="7"/>
        <v>0</v>
      </c>
      <c r="G26" s="133">
        <f t="shared" si="7"/>
        <v>0</v>
      </c>
      <c r="H26" s="133">
        <f t="shared" si="7"/>
        <v>0</v>
      </c>
      <c r="I26" s="133">
        <f t="shared" si="7"/>
        <v>0</v>
      </c>
      <c r="J26" s="133">
        <f t="shared" si="7"/>
        <v>0</v>
      </c>
      <c r="K26" s="133">
        <f t="shared" si="7"/>
        <v>0</v>
      </c>
      <c r="L26" s="22">
        <f t="shared" si="7"/>
        <v>0</v>
      </c>
      <c r="M26" s="22">
        <f t="shared" si="7"/>
        <v>0</v>
      </c>
      <c r="N26" s="22">
        <f>SUM(N14:N25)</f>
        <v>0</v>
      </c>
      <c r="O26" s="22">
        <f>SUM(O14:O25)</f>
        <v>0</v>
      </c>
      <c r="P26" s="22">
        <f t="shared" si="7"/>
        <v>0</v>
      </c>
      <c r="Q26" s="22">
        <f t="shared" si="7"/>
        <v>0</v>
      </c>
      <c r="R26" s="22">
        <f t="shared" si="7"/>
        <v>0</v>
      </c>
      <c r="S26" s="22">
        <f>SUM(S14:S25)</f>
        <v>0</v>
      </c>
      <c r="T26" s="22">
        <f t="shared" si="7"/>
        <v>0</v>
      </c>
      <c r="U26" s="22">
        <f t="shared" si="7"/>
        <v>0</v>
      </c>
      <c r="V26" s="22">
        <f t="shared" ref="V26:AB26" si="8">SUM(V14:V25)</f>
        <v>0</v>
      </c>
      <c r="W26" s="22">
        <f t="shared" si="8"/>
        <v>0</v>
      </c>
      <c r="X26" s="133">
        <f t="shared" si="8"/>
        <v>0</v>
      </c>
      <c r="Y26" s="133">
        <f t="shared" si="8"/>
        <v>0</v>
      </c>
      <c r="Z26" s="133">
        <f t="shared" si="8"/>
        <v>0</v>
      </c>
      <c r="AA26" s="133">
        <f t="shared" si="8"/>
        <v>0</v>
      </c>
      <c r="AB26" s="133">
        <f t="shared" si="8"/>
        <v>0</v>
      </c>
      <c r="AC26" s="134">
        <f>IF(D26&gt;0,D26/V26,0)</f>
        <v>0</v>
      </c>
    </row>
    <row r="27" spans="1:29" x14ac:dyDescent="0.25">
      <c r="A27" s="42"/>
      <c r="B27" s="42"/>
      <c r="C27" s="43"/>
      <c r="D27" s="43"/>
    </row>
    <row r="28" spans="1:29" x14ac:dyDescent="0.25">
      <c r="A28" s="44" t="s">
        <v>62</v>
      </c>
      <c r="B28" s="37"/>
      <c r="C28"/>
      <c r="D28"/>
    </row>
    <row r="29" spans="1:29" x14ac:dyDescent="0.25">
      <c r="A29" s="37"/>
      <c r="B29" s="37"/>
      <c r="C29"/>
      <c r="D29"/>
    </row>
    <row r="30" spans="1:29" x14ac:dyDescent="0.25">
      <c r="A30" s="42"/>
      <c r="B30" s="42"/>
      <c r="C30" s="43"/>
      <c r="D30" s="43"/>
    </row>
    <row r="31" spans="1:29" x14ac:dyDescent="0.25">
      <c r="A31" s="44" t="s">
        <v>63</v>
      </c>
      <c r="B31" s="37"/>
      <c r="C31"/>
      <c r="D31"/>
    </row>
    <row r="32" spans="1:29" x14ac:dyDescent="0.25">
      <c r="A32" s="37"/>
      <c r="B32" s="37"/>
      <c r="C32"/>
      <c r="D32"/>
    </row>
    <row r="33" spans="1:4" x14ac:dyDescent="0.25">
      <c r="A33" s="42"/>
      <c r="B33" s="42"/>
      <c r="C33" s="43"/>
      <c r="D33" s="43"/>
    </row>
    <row r="34" spans="1:4" x14ac:dyDescent="0.25">
      <c r="A34" s="44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2"/>
      <c r="B36" s="42"/>
      <c r="C36" s="43"/>
      <c r="D36"/>
    </row>
    <row r="37" spans="1:4" x14ac:dyDescent="0.25">
      <c r="A37" s="44" t="s">
        <v>64</v>
      </c>
      <c r="B37" s="37"/>
      <c r="C37"/>
      <c r="D37"/>
    </row>
    <row r="38" spans="1:4" x14ac:dyDescent="0.25">
      <c r="A38" s="49"/>
      <c r="B38" s="49"/>
      <c r="C38" s="49"/>
      <c r="D38" s="49"/>
    </row>
  </sheetData>
  <mergeCells count="2">
    <mergeCell ref="A10:H10"/>
    <mergeCell ref="A26:B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введение</vt:lpstr>
      <vt:lpstr>№ 910 Декларация </vt:lpstr>
      <vt:lpstr>№ 1 доход ТОО</vt:lpstr>
      <vt:lpstr>№ 2.1 Начис. доходы работников</vt:lpstr>
      <vt:lpstr>№ 2.2 Начис.доходы работников</vt:lpstr>
      <vt:lpstr>№ 2.3 Начис. доходы работ</vt:lpstr>
      <vt:lpstr>№ 2.4 Начис. доходы работ</vt:lpstr>
      <vt:lpstr>№ 2.5 Начис. доходы работ. </vt:lpstr>
      <vt:lpstr>№ 2.6 Начис. доходы работ. </vt:lpstr>
      <vt:lpstr>№4 Дивиденды</vt:lpstr>
      <vt:lpstr>№3 договора ГПХ</vt:lpstr>
      <vt:lpstr>№ 4 договора ГПХ</vt:lpstr>
      <vt:lpstr>введение!_SUB100</vt:lpstr>
      <vt:lpstr>введение!sub1002163307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Юлия Сулейманова</cp:lastModifiedBy>
  <cp:lastPrinted>2020-01-07T18:09:34Z</cp:lastPrinted>
  <dcterms:created xsi:type="dcterms:W3CDTF">2012-08-23T02:55:12Z</dcterms:created>
  <dcterms:modified xsi:type="dcterms:W3CDTF">2020-01-08T07:10:13Z</dcterms:modified>
</cp:coreProperties>
</file>